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/>
  <mc:AlternateContent xmlns:mc="http://schemas.openxmlformats.org/markup-compatibility/2006">
    <mc:Choice Requires="x15">
      <x15ac:absPath xmlns:x15ac="http://schemas.microsoft.com/office/spreadsheetml/2010/11/ac" url="I:\Ice\Web site\forms\RIDL\"/>
    </mc:Choice>
  </mc:AlternateContent>
  <bookViews>
    <workbookView xWindow="0" yWindow="0" windowWidth="20475" windowHeight="15360" activeTab="1"/>
  </bookViews>
  <sheets>
    <sheet name="Master" sheetId="6" r:id="rId1"/>
    <sheet name="N" sheetId="7" r:id="rId2"/>
    <sheet name="SC" sheetId="10" r:id="rId3"/>
    <sheet name="SE" sheetId="11" r:id="rId4"/>
    <sheet name="SW" sheetId="9" r:id="rId5"/>
    <sheet name="Jnr" sheetId="2" r:id="rId6"/>
    <sheet name="Inter" sheetId="4" r:id="rId7"/>
    <sheet name="Snr" sheetId="5" r:id="rId8"/>
    <sheet name="Final Result" sheetId="1" r:id="rId9"/>
    <sheet name="Music" sheetId="8" r:id="rId10"/>
    <sheet name="Lookup" sheetId="12" r:id="rId11"/>
  </sheets>
  <definedNames>
    <definedName name="_xlnm.Print_Area" localSheetId="8">'Final Result'!$A$1:$E$22</definedName>
    <definedName name="_xlnm.Print_Area" localSheetId="6">Inter!$A$1:$N$37</definedName>
    <definedName name="_xlnm.Print_Area" localSheetId="5">Jnr!$A$1:$N$37</definedName>
    <definedName name="_xlnm.Print_Area" localSheetId="0">Master!$A$1:$G$29</definedName>
    <definedName name="_xlnm.Print_Area" localSheetId="9">Music!$A$1:$F$88</definedName>
    <definedName name="_xlnm.Print_Area" localSheetId="1">N!$A$1:$I$38</definedName>
    <definedName name="_xlnm.Print_Area" localSheetId="2">SC!$A$1:$I$38</definedName>
    <definedName name="_xlnm.Print_Area" localSheetId="3">SE!$A$1:$I$38</definedName>
    <definedName name="_xlnm.Print_Area" localSheetId="7">Snr!$A$1:$N$37</definedName>
    <definedName name="_xlnm.Print_Area" localSheetId="4">SW!$A$1:$I$38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" i="12" l="1"/>
  <c r="D12" i="12"/>
  <c r="D4" i="12"/>
  <c r="P10" i="2"/>
  <c r="L10" i="2" s="1"/>
  <c r="D34" i="12" s="1"/>
  <c r="B1" i="9"/>
  <c r="P26" i="2"/>
  <c r="Q26" i="2"/>
  <c r="R26" i="2"/>
  <c r="S26" i="2"/>
  <c r="P24" i="2"/>
  <c r="Q24" i="2"/>
  <c r="R24" i="2"/>
  <c r="S24" i="2"/>
  <c r="P21" i="2"/>
  <c r="Q21" i="2"/>
  <c r="R21" i="2"/>
  <c r="S21" i="2"/>
  <c r="K21" i="2"/>
  <c r="G33" i="12" s="1"/>
  <c r="P15" i="2"/>
  <c r="Q15" i="2"/>
  <c r="R15" i="2"/>
  <c r="S15" i="2"/>
  <c r="P13" i="2"/>
  <c r="S13" i="2"/>
  <c r="Q13" i="2"/>
  <c r="R13" i="2"/>
  <c r="K13" i="2" s="1"/>
  <c r="E33" i="12" s="1"/>
  <c r="G10" i="11" s="1"/>
  <c r="Q10" i="2"/>
  <c r="R10" i="2"/>
  <c r="S10" i="2"/>
  <c r="B1" i="11"/>
  <c r="R22" i="4"/>
  <c r="P22" i="4"/>
  <c r="M22" i="4" s="1"/>
  <c r="G43" i="12" s="1"/>
  <c r="Q22" i="4"/>
  <c r="S22" i="4"/>
  <c r="N22" i="4" s="1"/>
  <c r="G44" i="12" s="1"/>
  <c r="R23" i="2"/>
  <c r="P23" i="2"/>
  <c r="Q23" i="2"/>
  <c r="L23" i="2" s="1"/>
  <c r="H34" i="12" s="1"/>
  <c r="G15" i="10" s="1"/>
  <c r="S23" i="2"/>
  <c r="R22" i="2"/>
  <c r="P22" i="2"/>
  <c r="Q22" i="2"/>
  <c r="N22" i="2" s="1"/>
  <c r="G36" i="12" s="1"/>
  <c r="S22" i="2"/>
  <c r="M22" i="2"/>
  <c r="G35" i="12" s="1"/>
  <c r="G14" i="11" s="1"/>
  <c r="R12" i="2"/>
  <c r="P12" i="2"/>
  <c r="Q12" i="2"/>
  <c r="S12" i="2"/>
  <c r="M12" i="2"/>
  <c r="E35" i="12" s="1"/>
  <c r="R11" i="2"/>
  <c r="P11" i="2"/>
  <c r="Q11" i="2"/>
  <c r="S11" i="2"/>
  <c r="M10" i="2"/>
  <c r="M13" i="2"/>
  <c r="M14" i="2"/>
  <c r="B1" i="10"/>
  <c r="Q25" i="2"/>
  <c r="P25" i="2"/>
  <c r="R25" i="2"/>
  <c r="S25" i="2"/>
  <c r="Q14" i="2"/>
  <c r="S14" i="2"/>
  <c r="P14" i="2"/>
  <c r="R14" i="2"/>
  <c r="B1" i="7"/>
  <c r="C6" i="12"/>
  <c r="C7" i="12"/>
  <c r="E22" i="2" s="1"/>
  <c r="E51" i="2" s="1"/>
  <c r="C8" i="12"/>
  <c r="C9" i="12"/>
  <c r="G47" i="12"/>
  <c r="F20" i="12"/>
  <c r="D47" i="12"/>
  <c r="G39" i="12"/>
  <c r="F12" i="12"/>
  <c r="D39" i="12"/>
  <c r="B52" i="12"/>
  <c r="B51" i="12"/>
  <c r="B50" i="12"/>
  <c r="B49" i="12"/>
  <c r="B44" i="12"/>
  <c r="B43" i="12"/>
  <c r="B42" i="12"/>
  <c r="B41" i="12"/>
  <c r="B34" i="12"/>
  <c r="B35" i="12"/>
  <c r="B36" i="12"/>
  <c r="B33" i="12"/>
  <c r="G31" i="12"/>
  <c r="D31" i="12"/>
  <c r="E67" i="8"/>
  <c r="E66" i="8"/>
  <c r="E65" i="8"/>
  <c r="E64" i="8"/>
  <c r="E37" i="8"/>
  <c r="E38" i="8"/>
  <c r="E36" i="8"/>
  <c r="E35" i="8"/>
  <c r="E6" i="8"/>
  <c r="E5" i="8"/>
  <c r="E4" i="8"/>
  <c r="E3" i="8"/>
  <c r="E6" i="1"/>
  <c r="D6" i="1"/>
  <c r="C6" i="1"/>
  <c r="B6" i="1"/>
  <c r="L3" i="2"/>
  <c r="L6" i="5"/>
  <c r="L5" i="5"/>
  <c r="L4" i="5"/>
  <c r="L6" i="4"/>
  <c r="L5" i="4"/>
  <c r="L4" i="4"/>
  <c r="L6" i="2"/>
  <c r="L5" i="2"/>
  <c r="L4" i="2"/>
  <c r="C22" i="12"/>
  <c r="C23" i="12"/>
  <c r="A24" i="5" s="1"/>
  <c r="A53" i="5" s="1"/>
  <c r="C24" i="12"/>
  <c r="C25" i="12"/>
  <c r="L38" i="9"/>
  <c r="H25" i="12" s="1"/>
  <c r="L36" i="9"/>
  <c r="F25" i="12" s="1"/>
  <c r="L37" i="9"/>
  <c r="G25" i="12" s="1"/>
  <c r="L32" i="10"/>
  <c r="D23" i="12" s="1"/>
  <c r="L33" i="11"/>
  <c r="E24" i="12" s="1"/>
  <c r="L36" i="11"/>
  <c r="F24" i="12"/>
  <c r="L36" i="10"/>
  <c r="F23" i="12" s="1"/>
  <c r="L37" i="10"/>
  <c r="G23" i="12" s="1"/>
  <c r="L37" i="11"/>
  <c r="G24" i="12" s="1"/>
  <c r="L37" i="7"/>
  <c r="G22" i="12"/>
  <c r="L38" i="10"/>
  <c r="H23" i="12" s="1"/>
  <c r="L38" i="11"/>
  <c r="H24" i="12" s="1"/>
  <c r="L38" i="7"/>
  <c r="H22" i="12" s="1"/>
  <c r="A43" i="5"/>
  <c r="E43" i="5"/>
  <c r="I43" i="5" s="1"/>
  <c r="N43" i="5" s="1"/>
  <c r="H43" i="5"/>
  <c r="M43" i="5" s="1"/>
  <c r="A44" i="5"/>
  <c r="I44" i="5" s="1"/>
  <c r="N44" i="5" s="1"/>
  <c r="E44" i="5"/>
  <c r="N10" i="5"/>
  <c r="N12" i="5"/>
  <c r="N15" i="5"/>
  <c r="N21" i="5"/>
  <c r="N23" i="5"/>
  <c r="N26" i="5"/>
  <c r="M10" i="5"/>
  <c r="M13" i="5"/>
  <c r="M14" i="5"/>
  <c r="M21" i="5"/>
  <c r="M24" i="5"/>
  <c r="M25" i="5"/>
  <c r="G43" i="5"/>
  <c r="L43" i="5" s="1"/>
  <c r="L11" i="5"/>
  <c r="L13" i="5"/>
  <c r="L15" i="5"/>
  <c r="L22" i="5"/>
  <c r="L24" i="5"/>
  <c r="L26" i="5"/>
  <c r="F43" i="5"/>
  <c r="K43" i="5" s="1"/>
  <c r="K11" i="5"/>
  <c r="K12" i="5"/>
  <c r="K14" i="5"/>
  <c r="K22" i="5"/>
  <c r="K23" i="5"/>
  <c r="K25" i="5"/>
  <c r="L14" i="10"/>
  <c r="L14" i="11"/>
  <c r="F8" i="12" s="1"/>
  <c r="L15" i="10"/>
  <c r="G7" i="12" s="1"/>
  <c r="L16" i="11"/>
  <c r="H8" i="12" s="1"/>
  <c r="A43" i="2"/>
  <c r="E43" i="2"/>
  <c r="G43" i="2" s="1"/>
  <c r="L43" i="2" s="1"/>
  <c r="I43" i="2"/>
  <c r="N43" i="2" s="1"/>
  <c r="A44" i="2"/>
  <c r="E44" i="2"/>
  <c r="N21" i="2"/>
  <c r="N23" i="2"/>
  <c r="N26" i="2"/>
  <c r="N10" i="2"/>
  <c r="N15" i="2"/>
  <c r="N12" i="2"/>
  <c r="H43" i="2"/>
  <c r="M43" i="2" s="1"/>
  <c r="M21" i="2"/>
  <c r="M24" i="2"/>
  <c r="M25" i="2"/>
  <c r="L22" i="2"/>
  <c r="L24" i="2"/>
  <c r="L26" i="2"/>
  <c r="L11" i="2"/>
  <c r="L15" i="2"/>
  <c r="L13" i="2"/>
  <c r="K22" i="2"/>
  <c r="K23" i="2"/>
  <c r="K25" i="2"/>
  <c r="K11" i="2"/>
  <c r="K12" i="2"/>
  <c r="K14" i="2"/>
  <c r="C14" i="12"/>
  <c r="E14" i="4" s="1"/>
  <c r="E47" i="4" s="1"/>
  <c r="C15" i="12"/>
  <c r="C16" i="12"/>
  <c r="C17" i="12"/>
  <c r="L27" i="9"/>
  <c r="H17" i="12"/>
  <c r="L25" i="9"/>
  <c r="F17" i="12"/>
  <c r="L21" i="11"/>
  <c r="D16" i="12"/>
  <c r="L22" i="11"/>
  <c r="E16" i="12"/>
  <c r="L25" i="11"/>
  <c r="F16" i="12"/>
  <c r="L25" i="10"/>
  <c r="F15" i="12"/>
  <c r="A43" i="4"/>
  <c r="E43" i="4"/>
  <c r="F43" i="4" s="1"/>
  <c r="K43" i="4" s="1"/>
  <c r="A44" i="4"/>
  <c r="E44" i="4"/>
  <c r="N21" i="4"/>
  <c r="N23" i="4"/>
  <c r="N26" i="4"/>
  <c r="N10" i="4"/>
  <c r="N12" i="4"/>
  <c r="N15" i="4"/>
  <c r="M21" i="4"/>
  <c r="M24" i="4"/>
  <c r="M25" i="4"/>
  <c r="M10" i="4"/>
  <c r="M13" i="4"/>
  <c r="M14" i="4"/>
  <c r="L22" i="4"/>
  <c r="L24" i="4"/>
  <c r="L26" i="4"/>
  <c r="L11" i="4"/>
  <c r="L13" i="4"/>
  <c r="L15" i="4"/>
  <c r="K22" i="4"/>
  <c r="K23" i="4"/>
  <c r="K25" i="4"/>
  <c r="K11" i="4"/>
  <c r="K12" i="4"/>
  <c r="K14" i="4"/>
  <c r="L11" i="7"/>
  <c r="E6" i="12"/>
  <c r="L3" i="5"/>
  <c r="L3" i="4"/>
  <c r="L33" i="10"/>
  <c r="E23" i="12" s="1"/>
  <c r="E14" i="5" s="1"/>
  <c r="E47" i="5" s="1"/>
  <c r="L32" i="11"/>
  <c r="L33" i="9"/>
  <c r="E25" i="12"/>
  <c r="L32" i="9"/>
  <c r="L32" i="7"/>
  <c r="L36" i="7"/>
  <c r="F22" i="12"/>
  <c r="L33" i="7"/>
  <c r="E22" i="12" s="1"/>
  <c r="L21" i="7"/>
  <c r="D14" i="12" s="1"/>
  <c r="L25" i="7"/>
  <c r="F14" i="12"/>
  <c r="L22" i="7"/>
  <c r="E14" i="12" s="1"/>
  <c r="L26" i="7"/>
  <c r="G14" i="12" s="1"/>
  <c r="L27" i="7"/>
  <c r="H14" i="12" s="1"/>
  <c r="E26" i="4" s="1"/>
  <c r="E55" i="4" s="1"/>
  <c r="L27" i="10"/>
  <c r="H15" i="12" s="1"/>
  <c r="L21" i="10"/>
  <c r="L22" i="10"/>
  <c r="L26" i="10"/>
  <c r="G15" i="12" s="1"/>
  <c r="B23" i="12"/>
  <c r="B24" i="12"/>
  <c r="B25" i="12"/>
  <c r="B22" i="12"/>
  <c r="B14" i="12"/>
  <c r="E15" i="12"/>
  <c r="L27" i="11"/>
  <c r="L26" i="11"/>
  <c r="L26" i="9"/>
  <c r="G17" i="12"/>
  <c r="L21" i="9"/>
  <c r="L22" i="9"/>
  <c r="E17" i="12" s="1"/>
  <c r="L10" i="10"/>
  <c r="B15" i="12"/>
  <c r="B16" i="12"/>
  <c r="B17" i="12"/>
  <c r="L11" i="10"/>
  <c r="E7" i="12" s="1"/>
  <c r="L16" i="10"/>
  <c r="H7" i="12" s="1"/>
  <c r="L11" i="11"/>
  <c r="E8" i="12" s="1"/>
  <c r="E15" i="2"/>
  <c r="E48" i="2" s="1"/>
  <c r="L10" i="11"/>
  <c r="D8" i="12" s="1"/>
  <c r="L15" i="11"/>
  <c r="G8" i="12"/>
  <c r="L11" i="9"/>
  <c r="E9" i="12"/>
  <c r="A14" i="2" s="1"/>
  <c r="A47" i="2" s="1"/>
  <c r="L15" i="9"/>
  <c r="G9" i="12"/>
  <c r="L14" i="9"/>
  <c r="F9" i="12" s="1"/>
  <c r="L10" i="9"/>
  <c r="D9" i="12" s="1"/>
  <c r="E13" i="2"/>
  <c r="E46" i="2" s="1"/>
  <c r="L16" i="9"/>
  <c r="H9" i="12"/>
  <c r="A25" i="2"/>
  <c r="A54" i="2" s="1"/>
  <c r="L14" i="7"/>
  <c r="F6" i="12"/>
  <c r="L10" i="7"/>
  <c r="D6" i="12" s="1"/>
  <c r="A13" i="2" s="1"/>
  <c r="A46" i="2" s="1"/>
  <c r="L15" i="7"/>
  <c r="G6" i="12"/>
  <c r="A24" i="2" s="1"/>
  <c r="A53" i="2" s="1"/>
  <c r="L16" i="7"/>
  <c r="H6" i="12"/>
  <c r="F4" i="12"/>
  <c r="C13" i="7"/>
  <c r="C8" i="7"/>
  <c r="B7" i="12"/>
  <c r="B8" i="12"/>
  <c r="B9" i="12"/>
  <c r="B6" i="12"/>
  <c r="C1" i="7"/>
  <c r="S25" i="4"/>
  <c r="P25" i="4"/>
  <c r="Q25" i="4"/>
  <c r="R25" i="4"/>
  <c r="S24" i="4"/>
  <c r="P24" i="4"/>
  <c r="K24" i="4" s="1"/>
  <c r="H41" i="12" s="1"/>
  <c r="Q24" i="4"/>
  <c r="R24" i="4"/>
  <c r="N24" i="4"/>
  <c r="H44" i="12" s="1"/>
  <c r="S14" i="4"/>
  <c r="P14" i="4"/>
  <c r="Q14" i="4"/>
  <c r="R14" i="4"/>
  <c r="N14" i="4"/>
  <c r="F44" i="12" s="1"/>
  <c r="S13" i="4"/>
  <c r="P13" i="4"/>
  <c r="K13" i="4" s="1"/>
  <c r="E41" i="12" s="1"/>
  <c r="Q13" i="4"/>
  <c r="R13" i="4"/>
  <c r="S11" i="4"/>
  <c r="P11" i="4"/>
  <c r="N11" i="4" s="1"/>
  <c r="D44" i="12" s="1"/>
  <c r="Q11" i="4"/>
  <c r="R11" i="4"/>
  <c r="M11" i="4" s="1"/>
  <c r="D43" i="12" s="1"/>
  <c r="S25" i="5"/>
  <c r="P25" i="5"/>
  <c r="N25" i="5" s="1"/>
  <c r="I52" i="12" s="1"/>
  <c r="Q25" i="5"/>
  <c r="L25" i="5" s="1"/>
  <c r="I50" i="12" s="1"/>
  <c r="G38" i="10" s="1"/>
  <c r="R25" i="5"/>
  <c r="S24" i="5"/>
  <c r="N24" i="5" s="1"/>
  <c r="H52" i="12" s="1"/>
  <c r="P24" i="5"/>
  <c r="Q24" i="5"/>
  <c r="K24" i="5" s="1"/>
  <c r="H49" i="12" s="1"/>
  <c r="G37" i="7" s="1"/>
  <c r="R24" i="5"/>
  <c r="S22" i="5"/>
  <c r="N22" i="5" s="1"/>
  <c r="G52" i="12" s="1"/>
  <c r="P22" i="5"/>
  <c r="Q22" i="5"/>
  <c r="R22" i="5"/>
  <c r="S14" i="5"/>
  <c r="P14" i="5"/>
  <c r="Q14" i="5"/>
  <c r="L14" i="5" s="1"/>
  <c r="F50" i="12" s="1"/>
  <c r="G33" i="10" s="1"/>
  <c r="R14" i="5"/>
  <c r="N14" i="5"/>
  <c r="F52" i="12" s="1"/>
  <c r="S13" i="5"/>
  <c r="P13" i="5"/>
  <c r="K13" i="5"/>
  <c r="E49" i="12" s="1"/>
  <c r="Q13" i="5"/>
  <c r="N13" i="5"/>
  <c r="E52" i="12" s="1"/>
  <c r="R13" i="5"/>
  <c r="S11" i="5"/>
  <c r="N11" i="5" s="1"/>
  <c r="D52" i="12" s="1"/>
  <c r="G31" i="7" s="1"/>
  <c r="P11" i="5"/>
  <c r="Q11" i="5"/>
  <c r="M11" i="5" s="1"/>
  <c r="D51" i="12" s="1"/>
  <c r="R11" i="5"/>
  <c r="R26" i="4"/>
  <c r="M26" i="4" s="1"/>
  <c r="I43" i="12" s="1"/>
  <c r="P26" i="4"/>
  <c r="Q26" i="4"/>
  <c r="S26" i="4"/>
  <c r="K26" i="4" s="1"/>
  <c r="I41" i="12" s="1"/>
  <c r="G27" i="11" s="1"/>
  <c r="R23" i="4"/>
  <c r="P23" i="4"/>
  <c r="M23" i="4" s="1"/>
  <c r="H43" i="12" s="1"/>
  <c r="G26" i="11" s="1"/>
  <c r="Q23" i="4"/>
  <c r="L23" i="4" s="1"/>
  <c r="H42" i="12" s="1"/>
  <c r="G26" i="10" s="1"/>
  <c r="S23" i="4"/>
  <c r="R15" i="4"/>
  <c r="P15" i="4"/>
  <c r="K15" i="4" s="1"/>
  <c r="F41" i="12" s="1"/>
  <c r="Q15" i="4"/>
  <c r="S15" i="4"/>
  <c r="R12" i="4"/>
  <c r="M12" i="4" s="1"/>
  <c r="E43" i="12" s="1"/>
  <c r="G21" i="9" s="1"/>
  <c r="P12" i="4"/>
  <c r="Q12" i="4"/>
  <c r="S12" i="4"/>
  <c r="L12" i="4" s="1"/>
  <c r="R26" i="5"/>
  <c r="P26" i="5"/>
  <c r="K26" i="5" s="1"/>
  <c r="I49" i="12" s="1"/>
  <c r="Q26" i="5"/>
  <c r="S26" i="5"/>
  <c r="R23" i="5"/>
  <c r="M23" i="5" s="1"/>
  <c r="P23" i="5"/>
  <c r="Q23" i="5"/>
  <c r="L23" i="5" s="1"/>
  <c r="H50" i="12" s="1"/>
  <c r="G37" i="10" s="1"/>
  <c r="S23" i="5"/>
  <c r="R15" i="5"/>
  <c r="P15" i="5"/>
  <c r="K15" i="5" s="1"/>
  <c r="F49" i="12" s="1"/>
  <c r="Q15" i="5"/>
  <c r="S15" i="5"/>
  <c r="R12" i="5"/>
  <c r="P12" i="5"/>
  <c r="G32" i="7"/>
  <c r="Q12" i="5"/>
  <c r="S12" i="5"/>
  <c r="L12" i="5" s="1"/>
  <c r="E50" i="12" s="1"/>
  <c r="G32" i="10" s="1"/>
  <c r="Q21" i="4"/>
  <c r="L21" i="4" s="1"/>
  <c r="P21" i="4"/>
  <c r="K21" i="4" s="1"/>
  <c r="G41" i="12" s="1"/>
  <c r="R21" i="4"/>
  <c r="S21" i="4"/>
  <c r="Q10" i="4"/>
  <c r="P10" i="4"/>
  <c r="R10" i="4"/>
  <c r="S10" i="4"/>
  <c r="Q21" i="5"/>
  <c r="L21" i="5" s="1"/>
  <c r="G50" i="12" s="1"/>
  <c r="G36" i="10" s="1"/>
  <c r="P21" i="5"/>
  <c r="R21" i="5"/>
  <c r="S21" i="5"/>
  <c r="Q10" i="5"/>
  <c r="L10" i="5" s="1"/>
  <c r="P10" i="5"/>
  <c r="K10" i="5" s="1"/>
  <c r="R10" i="5"/>
  <c r="S10" i="5"/>
  <c r="C1" i="11"/>
  <c r="C1" i="9"/>
  <c r="C1" i="10"/>
  <c r="G3" i="11"/>
  <c r="G4" i="11"/>
  <c r="G5" i="11"/>
  <c r="C8" i="11"/>
  <c r="C13" i="11"/>
  <c r="C19" i="11"/>
  <c r="C24" i="11"/>
  <c r="C30" i="11"/>
  <c r="C35" i="11"/>
  <c r="G3" i="10"/>
  <c r="G4" i="10"/>
  <c r="G5" i="10"/>
  <c r="C8" i="10"/>
  <c r="C13" i="10"/>
  <c r="C19" i="10"/>
  <c r="C24" i="10"/>
  <c r="C30" i="10"/>
  <c r="C35" i="10"/>
  <c r="G3" i="9"/>
  <c r="G4" i="9"/>
  <c r="G5" i="9"/>
  <c r="C8" i="9"/>
  <c r="C13" i="9"/>
  <c r="C19" i="9"/>
  <c r="C24" i="9"/>
  <c r="C30" i="9"/>
  <c r="C35" i="9"/>
  <c r="A19" i="5"/>
  <c r="A49" i="5" s="1"/>
  <c r="A8" i="5"/>
  <c r="A41" i="5" s="1"/>
  <c r="B3" i="5"/>
  <c r="B4" i="5"/>
  <c r="B4" i="4"/>
  <c r="B3" i="4"/>
  <c r="A19" i="4"/>
  <c r="A8" i="4"/>
  <c r="T10" i="4"/>
  <c r="T11" i="4"/>
  <c r="B4" i="2"/>
  <c r="B3" i="2"/>
  <c r="B65" i="8"/>
  <c r="B64" i="8"/>
  <c r="B36" i="8"/>
  <c r="B35" i="8"/>
  <c r="A8" i="2"/>
  <c r="A41" i="2" s="1"/>
  <c r="A19" i="2"/>
  <c r="A49" i="2" s="1"/>
  <c r="E88" i="8"/>
  <c r="E87" i="8"/>
  <c r="E86" i="8"/>
  <c r="E85" i="8"/>
  <c r="E84" i="8"/>
  <c r="E83" i="8"/>
  <c r="D83" i="8"/>
  <c r="C83" i="8"/>
  <c r="D80" i="8"/>
  <c r="B80" i="8"/>
  <c r="E77" i="8"/>
  <c r="E76" i="8"/>
  <c r="E75" i="8"/>
  <c r="E74" i="8"/>
  <c r="E73" i="8"/>
  <c r="E72" i="8"/>
  <c r="D72" i="8"/>
  <c r="C72" i="8"/>
  <c r="D69" i="8"/>
  <c r="B69" i="8"/>
  <c r="E59" i="8"/>
  <c r="E58" i="8"/>
  <c r="E57" i="8"/>
  <c r="E56" i="8"/>
  <c r="E55" i="8"/>
  <c r="E54" i="8"/>
  <c r="D54" i="8"/>
  <c r="C54" i="8"/>
  <c r="D51" i="8"/>
  <c r="B51" i="8"/>
  <c r="E48" i="8"/>
  <c r="E47" i="8"/>
  <c r="E46" i="8"/>
  <c r="E45" i="8"/>
  <c r="E44" i="8"/>
  <c r="E43" i="8"/>
  <c r="D43" i="8"/>
  <c r="C43" i="8"/>
  <c r="D40" i="8"/>
  <c r="B40" i="8"/>
  <c r="E27" i="8"/>
  <c r="E26" i="8"/>
  <c r="E25" i="8"/>
  <c r="E24" i="8"/>
  <c r="E23" i="8"/>
  <c r="E22" i="8"/>
  <c r="E16" i="8"/>
  <c r="E14" i="8"/>
  <c r="E13" i="8"/>
  <c r="E15" i="8"/>
  <c r="E12" i="8"/>
  <c r="E11" i="8"/>
  <c r="D22" i="8"/>
  <c r="D11" i="8"/>
  <c r="A1" i="1"/>
  <c r="G3" i="7"/>
  <c r="G4" i="7"/>
  <c r="G5" i="7"/>
  <c r="C19" i="7"/>
  <c r="C24" i="7"/>
  <c r="C30" i="7"/>
  <c r="C35" i="7"/>
  <c r="B3" i="8"/>
  <c r="B4" i="8"/>
  <c r="B8" i="8"/>
  <c r="D8" i="8"/>
  <c r="C11" i="8"/>
  <c r="B19" i="8"/>
  <c r="D19" i="8"/>
  <c r="C22" i="8"/>
  <c r="A49" i="4"/>
  <c r="A41" i="4"/>
  <c r="T26" i="4"/>
  <c r="T25" i="4"/>
  <c r="T24" i="4"/>
  <c r="T23" i="4"/>
  <c r="T22" i="4"/>
  <c r="T21" i="4"/>
  <c r="T12" i="4"/>
  <c r="T13" i="4"/>
  <c r="T14" i="4"/>
  <c r="T15" i="4"/>
  <c r="T26" i="2"/>
  <c r="T25" i="2"/>
  <c r="T24" i="2"/>
  <c r="T23" i="2"/>
  <c r="T22" i="2"/>
  <c r="T21" i="2"/>
  <c r="T10" i="2"/>
  <c r="T11" i="2"/>
  <c r="T12" i="2"/>
  <c r="T13" i="2"/>
  <c r="T14" i="2"/>
  <c r="T15" i="2"/>
  <c r="T26" i="5"/>
  <c r="T25" i="5"/>
  <c r="T24" i="5"/>
  <c r="T23" i="5"/>
  <c r="T22" i="5"/>
  <c r="T21" i="5"/>
  <c r="T10" i="5"/>
  <c r="T11" i="5"/>
  <c r="T12" i="5"/>
  <c r="T13" i="5"/>
  <c r="T14" i="5"/>
  <c r="T15" i="5"/>
  <c r="D7" i="12"/>
  <c r="E12" i="2"/>
  <c r="E45" i="2" s="1"/>
  <c r="D17" i="12"/>
  <c r="G16" i="12"/>
  <c r="D25" i="12"/>
  <c r="E13" i="5" s="1"/>
  <c r="E46" i="5" s="1"/>
  <c r="L17" i="9"/>
  <c r="I9" i="12" s="1"/>
  <c r="N33" i="2" s="1"/>
  <c r="L17" i="11"/>
  <c r="I8" i="12"/>
  <c r="M33" i="2" s="1"/>
  <c r="L17" i="7"/>
  <c r="I6" i="12"/>
  <c r="K33" i="2" s="1"/>
  <c r="D15" i="12"/>
  <c r="K10" i="2"/>
  <c r="D33" i="12" s="1"/>
  <c r="E24" i="2"/>
  <c r="E53" i="2" s="1"/>
  <c r="A22" i="2"/>
  <c r="A51" i="2" s="1"/>
  <c r="E22" i="5"/>
  <c r="E51" i="5" s="1"/>
  <c r="L39" i="9"/>
  <c r="I25" i="12" s="1"/>
  <c r="A15" i="4"/>
  <c r="A48" i="4" s="1"/>
  <c r="A21" i="4"/>
  <c r="A50" i="4" s="1"/>
  <c r="A23" i="4"/>
  <c r="A52" i="4" s="1"/>
  <c r="A25" i="5"/>
  <c r="A54" i="5" s="1"/>
  <c r="E15" i="4"/>
  <c r="E48" i="4" s="1"/>
  <c r="A13" i="4"/>
  <c r="A46" i="4" s="1"/>
  <c r="A14" i="5"/>
  <c r="A47" i="5" s="1"/>
  <c r="E21" i="5"/>
  <c r="E50" i="5" s="1"/>
  <c r="L12" i="2"/>
  <c r="E34" i="12" s="1"/>
  <c r="G10" i="10" s="1"/>
  <c r="M22" i="5"/>
  <c r="G51" i="12" s="1"/>
  <c r="L28" i="9"/>
  <c r="I17" i="12" s="1"/>
  <c r="N25" i="4"/>
  <c r="I44" i="12" s="1"/>
  <c r="L25" i="4"/>
  <c r="I42" i="12" s="1"/>
  <c r="G27" i="10" s="1"/>
  <c r="K10" i="4"/>
  <c r="D41" i="12" s="1"/>
  <c r="A15" i="5"/>
  <c r="A48" i="5" s="1"/>
  <c r="L10" i="4"/>
  <c r="D42" i="12" s="1"/>
  <c r="G20" i="10" s="1"/>
  <c r="L33" i="5"/>
  <c r="L14" i="4"/>
  <c r="F42" i="12" s="1"/>
  <c r="G22" i="10" s="1"/>
  <c r="H44" i="5"/>
  <c r="M44" i="5" s="1"/>
  <c r="A22" i="5"/>
  <c r="A51" i="5" s="1"/>
  <c r="N33" i="5"/>
  <c r="H44" i="2"/>
  <c r="M44" i="2" s="1"/>
  <c r="F44" i="5"/>
  <c r="K44" i="5" s="1"/>
  <c r="E15" i="5"/>
  <c r="E48" i="5" s="1"/>
  <c r="L14" i="2"/>
  <c r="F34" i="12" s="1"/>
  <c r="G11" i="10" s="1"/>
  <c r="N33" i="4"/>
  <c r="M26" i="2"/>
  <c r="I35" i="12" s="1"/>
  <c r="G27" i="9" l="1"/>
  <c r="G27" i="7"/>
  <c r="G25" i="7"/>
  <c r="G25" i="11"/>
  <c r="G26" i="9"/>
  <c r="G26" i="7"/>
  <c r="M27" i="4"/>
  <c r="K27" i="4"/>
  <c r="G25" i="9"/>
  <c r="M15" i="4"/>
  <c r="F43" i="12" s="1"/>
  <c r="G22" i="11" s="1"/>
  <c r="G20" i="7"/>
  <c r="G20" i="11"/>
  <c r="E42" i="12"/>
  <c r="G21" i="10" s="1"/>
  <c r="L16" i="4"/>
  <c r="G21" i="11"/>
  <c r="G22" i="7"/>
  <c r="N13" i="4"/>
  <c r="E44" i="12" s="1"/>
  <c r="G21" i="7" s="1"/>
  <c r="M12" i="5"/>
  <c r="E51" i="12" s="1"/>
  <c r="G32" i="11" s="1"/>
  <c r="M26" i="5"/>
  <c r="I51" i="12" s="1"/>
  <c r="G38" i="11" s="1"/>
  <c r="G36" i="9"/>
  <c r="K21" i="5"/>
  <c r="K27" i="5" s="1"/>
  <c r="G38" i="7"/>
  <c r="L27" i="5"/>
  <c r="N27" i="5"/>
  <c r="D49" i="12"/>
  <c r="G31" i="11" s="1"/>
  <c r="K16" i="5"/>
  <c r="K32" i="5" s="1"/>
  <c r="G33" i="7"/>
  <c r="G32" i="9"/>
  <c r="M15" i="5"/>
  <c r="F51" i="12" s="1"/>
  <c r="G33" i="11" s="1"/>
  <c r="M23" i="2"/>
  <c r="H35" i="12" s="1"/>
  <c r="K26" i="2"/>
  <c r="I33" i="12" s="1"/>
  <c r="G16" i="11" s="1"/>
  <c r="M27" i="2"/>
  <c r="L25" i="2"/>
  <c r="I34" i="12" s="1"/>
  <c r="G16" i="10" s="1"/>
  <c r="L21" i="2"/>
  <c r="K24" i="2"/>
  <c r="N14" i="2"/>
  <c r="F36" i="12" s="1"/>
  <c r="G11" i="7" s="1"/>
  <c r="N11" i="2"/>
  <c r="D36" i="12" s="1"/>
  <c r="G9" i="7" s="1"/>
  <c r="N13" i="2"/>
  <c r="E36" i="12" s="1"/>
  <c r="G10" i="7" s="1"/>
  <c r="K15" i="2"/>
  <c r="F33" i="12" s="1"/>
  <c r="G11" i="11" s="1"/>
  <c r="M15" i="2"/>
  <c r="F35" i="12" s="1"/>
  <c r="G11" i="9" s="1"/>
  <c r="H51" i="2"/>
  <c r="M51" i="2" s="1"/>
  <c r="G31" i="9"/>
  <c r="G20" i="9"/>
  <c r="E23" i="4"/>
  <c r="E52" i="4" s="1"/>
  <c r="E25" i="5"/>
  <c r="E54" i="5" s="1"/>
  <c r="I54" i="5" s="1"/>
  <c r="N54" i="5" s="1"/>
  <c r="E25" i="4"/>
  <c r="E54" i="4" s="1"/>
  <c r="G14" i="9"/>
  <c r="A12" i="5"/>
  <c r="A45" i="5" s="1"/>
  <c r="A25" i="4"/>
  <c r="A54" i="4" s="1"/>
  <c r="E21" i="4"/>
  <c r="E50" i="4" s="1"/>
  <c r="H50" i="4" s="1"/>
  <c r="M50" i="4" s="1"/>
  <c r="A22" i="4"/>
  <c r="A51" i="4" s="1"/>
  <c r="A12" i="2"/>
  <c r="A45" i="2" s="1"/>
  <c r="H45" i="2" s="1"/>
  <c r="M45" i="2" s="1"/>
  <c r="A21" i="2"/>
  <c r="A50" i="2" s="1"/>
  <c r="E26" i="2"/>
  <c r="E55" i="2" s="1"/>
  <c r="A12" i="4"/>
  <c r="A45" i="4" s="1"/>
  <c r="G33" i="9"/>
  <c r="G22" i="9"/>
  <c r="E25" i="2"/>
  <c r="E54" i="2" s="1"/>
  <c r="H54" i="2" s="1"/>
  <c r="M54" i="2" s="1"/>
  <c r="A15" i="2"/>
  <c r="A48" i="2" s="1"/>
  <c r="E14" i="2"/>
  <c r="E47" i="2" s="1"/>
  <c r="I47" i="2" s="1"/>
  <c r="N47" i="2" s="1"/>
  <c r="A24" i="4"/>
  <c r="A53" i="4" s="1"/>
  <c r="A21" i="5"/>
  <c r="A50" i="5" s="1"/>
  <c r="G50" i="5" s="1"/>
  <c r="L50" i="5" s="1"/>
  <c r="E22" i="4"/>
  <c r="E51" i="4" s="1"/>
  <c r="A23" i="2"/>
  <c r="A52" i="2" s="1"/>
  <c r="A23" i="5"/>
  <c r="A52" i="5" s="1"/>
  <c r="G10" i="9"/>
  <c r="F50" i="4"/>
  <c r="K50" i="4" s="1"/>
  <c r="H48" i="4"/>
  <c r="M48" i="4" s="1"/>
  <c r="I54" i="4"/>
  <c r="N54" i="4" s="1"/>
  <c r="I50" i="5"/>
  <c r="N50" i="5" s="1"/>
  <c r="F50" i="5"/>
  <c r="K50" i="5" s="1"/>
  <c r="L39" i="10"/>
  <c r="I23" i="12" s="1"/>
  <c r="F47" i="5"/>
  <c r="K47" i="5" s="1"/>
  <c r="H54" i="5"/>
  <c r="M54" i="5" s="1"/>
  <c r="H51" i="4"/>
  <c r="M51" i="4" s="1"/>
  <c r="G54" i="4"/>
  <c r="L54" i="4" s="1"/>
  <c r="F54" i="2"/>
  <c r="K54" i="2" s="1"/>
  <c r="H46" i="2"/>
  <c r="M46" i="2" s="1"/>
  <c r="G46" i="2"/>
  <c r="L46" i="2" s="1"/>
  <c r="F46" i="2"/>
  <c r="K46" i="2" s="1"/>
  <c r="G54" i="2"/>
  <c r="L54" i="2" s="1"/>
  <c r="I51" i="2"/>
  <c r="N51" i="2" s="1"/>
  <c r="I54" i="2"/>
  <c r="N54" i="2" s="1"/>
  <c r="L16" i="2"/>
  <c r="F51" i="4"/>
  <c r="K51" i="4" s="1"/>
  <c r="I51" i="4"/>
  <c r="N51" i="4" s="1"/>
  <c r="F51" i="5"/>
  <c r="K51" i="5" s="1"/>
  <c r="G51" i="5"/>
  <c r="L51" i="5" s="1"/>
  <c r="H51" i="5"/>
  <c r="M51" i="5" s="1"/>
  <c r="E23" i="2"/>
  <c r="E52" i="2" s="1"/>
  <c r="F54" i="4"/>
  <c r="K54" i="4" s="1"/>
  <c r="A26" i="2"/>
  <c r="A55" i="2" s="1"/>
  <c r="E26" i="5"/>
  <c r="E55" i="5" s="1"/>
  <c r="I51" i="5"/>
  <c r="N51" i="5" s="1"/>
  <c r="E13" i="4"/>
  <c r="E46" i="4" s="1"/>
  <c r="F46" i="4" s="1"/>
  <c r="K46" i="4" s="1"/>
  <c r="E23" i="5"/>
  <c r="E52" i="5" s="1"/>
  <c r="H52" i="5" s="1"/>
  <c r="M52" i="5" s="1"/>
  <c r="G51" i="2"/>
  <c r="L51" i="2" s="1"/>
  <c r="E12" i="4"/>
  <c r="E45" i="4" s="1"/>
  <c r="I45" i="4" s="1"/>
  <c r="N45" i="4" s="1"/>
  <c r="G51" i="4"/>
  <c r="L51" i="4" s="1"/>
  <c r="E24" i="5"/>
  <c r="E53" i="5" s="1"/>
  <c r="H53" i="5" s="1"/>
  <c r="M53" i="5" s="1"/>
  <c r="G14" i="7"/>
  <c r="F47" i="2"/>
  <c r="K47" i="2" s="1"/>
  <c r="I53" i="2"/>
  <c r="N53" i="2" s="1"/>
  <c r="F53" i="2"/>
  <c r="K53" i="2" s="1"/>
  <c r="G53" i="2"/>
  <c r="L53" i="2" s="1"/>
  <c r="H53" i="2"/>
  <c r="M53" i="2" s="1"/>
  <c r="G48" i="2"/>
  <c r="L48" i="2" s="1"/>
  <c r="F48" i="2"/>
  <c r="K48" i="2" s="1"/>
  <c r="I48" i="2"/>
  <c r="N48" i="2" s="1"/>
  <c r="H48" i="2"/>
  <c r="M48" i="2" s="1"/>
  <c r="I48" i="5"/>
  <c r="N48" i="5" s="1"/>
  <c r="F48" i="5"/>
  <c r="K48" i="5" s="1"/>
  <c r="H48" i="5"/>
  <c r="M48" i="5" s="1"/>
  <c r="G48" i="5"/>
  <c r="L48" i="5" s="1"/>
  <c r="N16" i="5"/>
  <c r="G47" i="5"/>
  <c r="L47" i="5" s="1"/>
  <c r="N16" i="2"/>
  <c r="L27" i="4"/>
  <c r="L32" i="4" s="1"/>
  <c r="G42" i="12"/>
  <c r="G25" i="10" s="1"/>
  <c r="L39" i="7"/>
  <c r="I22" i="12" s="1"/>
  <c r="K33" i="5" s="1"/>
  <c r="D22" i="12"/>
  <c r="A13" i="5" s="1"/>
  <c r="A46" i="5" s="1"/>
  <c r="N16" i="4"/>
  <c r="G43" i="4"/>
  <c r="L43" i="4" s="1"/>
  <c r="I45" i="2"/>
  <c r="N45" i="2" s="1"/>
  <c r="G52" i="2"/>
  <c r="L52" i="2" s="1"/>
  <c r="L16" i="5"/>
  <c r="L32" i="5" s="1"/>
  <c r="D50" i="12"/>
  <c r="G31" i="10" s="1"/>
  <c r="G45" i="2"/>
  <c r="L45" i="2" s="1"/>
  <c r="L28" i="11"/>
  <c r="I16" i="12" s="1"/>
  <c r="M33" i="4" s="1"/>
  <c r="H16" i="12"/>
  <c r="A26" i="4" s="1"/>
  <c r="A55" i="4" s="1"/>
  <c r="N27" i="4"/>
  <c r="G52" i="4"/>
  <c r="L52" i="4" s="1"/>
  <c r="I52" i="4"/>
  <c r="N52" i="4" s="1"/>
  <c r="F52" i="4"/>
  <c r="K52" i="4" s="1"/>
  <c r="H52" i="4"/>
  <c r="M52" i="4" s="1"/>
  <c r="I50" i="4"/>
  <c r="N50" i="4" s="1"/>
  <c r="F51" i="2"/>
  <c r="K51" i="2" s="1"/>
  <c r="L28" i="10"/>
  <c r="I15" i="12" s="1"/>
  <c r="L33" i="4" s="1"/>
  <c r="L39" i="11"/>
  <c r="I24" i="12" s="1"/>
  <c r="M33" i="5" s="1"/>
  <c r="D24" i="12"/>
  <c r="E12" i="5" s="1"/>
  <c r="E45" i="5" s="1"/>
  <c r="G44" i="2"/>
  <c r="L44" i="2" s="1"/>
  <c r="I44" i="2"/>
  <c r="N44" i="2" s="1"/>
  <c r="F44" i="2"/>
  <c r="K44" i="2" s="1"/>
  <c r="G9" i="10"/>
  <c r="L28" i="7"/>
  <c r="I14" i="12" s="1"/>
  <c r="K33" i="4" s="1"/>
  <c r="M27" i="5"/>
  <c r="H51" i="12"/>
  <c r="I43" i="4"/>
  <c r="N43" i="4" s="1"/>
  <c r="G50" i="4"/>
  <c r="L50" i="4" s="1"/>
  <c r="G48" i="4"/>
  <c r="L48" i="4" s="1"/>
  <c r="F48" i="4"/>
  <c r="K48" i="4" s="1"/>
  <c r="H47" i="2"/>
  <c r="M47" i="2" s="1"/>
  <c r="M16" i="4"/>
  <c r="M32" i="4" s="1"/>
  <c r="K16" i="4"/>
  <c r="K32" i="4" s="1"/>
  <c r="G49" i="12"/>
  <c r="G36" i="7" s="1"/>
  <c r="K16" i="2"/>
  <c r="I48" i="4"/>
  <c r="N48" i="4" s="1"/>
  <c r="I46" i="2"/>
  <c r="N46" i="2" s="1"/>
  <c r="H43" i="4"/>
  <c r="M43" i="4" s="1"/>
  <c r="H47" i="5"/>
  <c r="M47" i="5" s="1"/>
  <c r="I47" i="5"/>
  <c r="N47" i="5" s="1"/>
  <c r="H54" i="4"/>
  <c r="M54" i="4" s="1"/>
  <c r="I44" i="4"/>
  <c r="N44" i="4" s="1"/>
  <c r="A14" i="4"/>
  <c r="A47" i="4" s="1"/>
  <c r="E24" i="4"/>
  <c r="E53" i="4" s="1"/>
  <c r="G53" i="4" s="1"/>
  <c r="L53" i="4" s="1"/>
  <c r="F7" i="12"/>
  <c r="E21" i="2" s="1"/>
  <c r="E50" i="2" s="1"/>
  <c r="G50" i="2" s="1"/>
  <c r="L50" i="2" s="1"/>
  <c r="L17" i="10"/>
  <c r="I7" i="12" s="1"/>
  <c r="L33" i="2" s="1"/>
  <c r="A26" i="5"/>
  <c r="A55" i="5" s="1"/>
  <c r="F44" i="4"/>
  <c r="K44" i="4" s="1"/>
  <c r="G44" i="4"/>
  <c r="L44" i="4" s="1"/>
  <c r="H44" i="4"/>
  <c r="M44" i="4" s="1"/>
  <c r="F43" i="2"/>
  <c r="K43" i="2" s="1"/>
  <c r="M11" i="2"/>
  <c r="D35" i="12" s="1"/>
  <c r="G9" i="11" s="1"/>
  <c r="G44" i="5"/>
  <c r="L44" i="5" s="1"/>
  <c r="N25" i="2"/>
  <c r="I36" i="12" s="1"/>
  <c r="G16" i="9" s="1"/>
  <c r="N24" i="2"/>
  <c r="N32" i="4" l="1"/>
  <c r="G38" i="9"/>
  <c r="G37" i="11"/>
  <c r="G37" i="9"/>
  <c r="N32" i="5"/>
  <c r="G36" i="11"/>
  <c r="M16" i="5"/>
  <c r="M32" i="5" s="1"/>
  <c r="G16" i="7"/>
  <c r="G34" i="12"/>
  <c r="G14" i="10" s="1"/>
  <c r="L27" i="2"/>
  <c r="L32" i="2" s="1"/>
  <c r="H33" i="12"/>
  <c r="G15" i="11" s="1"/>
  <c r="K27" i="2"/>
  <c r="K32" i="2" s="1"/>
  <c r="G9" i="9"/>
  <c r="G47" i="2"/>
  <c r="L47" i="2" s="1"/>
  <c r="G45" i="5"/>
  <c r="L45" i="5" s="1"/>
  <c r="G54" i="5"/>
  <c r="L54" i="5" s="1"/>
  <c r="F45" i="2"/>
  <c r="K45" i="2" s="1"/>
  <c r="I55" i="2"/>
  <c r="N55" i="2" s="1"/>
  <c r="F52" i="2"/>
  <c r="K52" i="2" s="1"/>
  <c r="F54" i="5"/>
  <c r="K54" i="5" s="1"/>
  <c r="H50" i="5"/>
  <c r="M50" i="5" s="1"/>
  <c r="F55" i="2"/>
  <c r="K55" i="2" s="1"/>
  <c r="I52" i="5"/>
  <c r="N52" i="5" s="1"/>
  <c r="G52" i="5"/>
  <c r="L52" i="5" s="1"/>
  <c r="F52" i="5"/>
  <c r="K52" i="5" s="1"/>
  <c r="F53" i="5"/>
  <c r="K53" i="5" s="1"/>
  <c r="I53" i="5"/>
  <c r="N53" i="5" s="1"/>
  <c r="F45" i="4"/>
  <c r="K45" i="4" s="1"/>
  <c r="H46" i="4"/>
  <c r="M46" i="4" s="1"/>
  <c r="G46" i="4"/>
  <c r="L46" i="4" s="1"/>
  <c r="I46" i="4"/>
  <c r="N46" i="4" s="1"/>
  <c r="H45" i="4"/>
  <c r="M45" i="4" s="1"/>
  <c r="G45" i="4"/>
  <c r="L45" i="4" s="1"/>
  <c r="H52" i="2"/>
  <c r="M52" i="2" s="1"/>
  <c r="I52" i="2"/>
  <c r="N52" i="2" s="1"/>
  <c r="G55" i="2"/>
  <c r="L55" i="2" s="1"/>
  <c r="H55" i="2"/>
  <c r="M55" i="2" s="1"/>
  <c r="I53" i="4"/>
  <c r="N53" i="4" s="1"/>
  <c r="G53" i="5"/>
  <c r="L53" i="5" s="1"/>
  <c r="L56" i="2"/>
  <c r="L34" i="2" s="1"/>
  <c r="F46" i="5"/>
  <c r="K46" i="5" s="1"/>
  <c r="G46" i="5"/>
  <c r="L46" i="5" s="1"/>
  <c r="H46" i="5"/>
  <c r="M46" i="5" s="1"/>
  <c r="I46" i="5"/>
  <c r="N46" i="5" s="1"/>
  <c r="H55" i="5"/>
  <c r="M55" i="5" s="1"/>
  <c r="I55" i="5"/>
  <c r="N55" i="5" s="1"/>
  <c r="F55" i="5"/>
  <c r="K55" i="5" s="1"/>
  <c r="G55" i="5"/>
  <c r="L55" i="5" s="1"/>
  <c r="H55" i="4"/>
  <c r="M55" i="4" s="1"/>
  <c r="F55" i="4"/>
  <c r="K55" i="4" s="1"/>
  <c r="I55" i="4"/>
  <c r="N55" i="4" s="1"/>
  <c r="G55" i="4"/>
  <c r="L55" i="4" s="1"/>
  <c r="H50" i="2"/>
  <c r="M50" i="2" s="1"/>
  <c r="F50" i="2"/>
  <c r="K50" i="2" s="1"/>
  <c r="K56" i="2" s="1"/>
  <c r="K34" i="2" s="1"/>
  <c r="I50" i="2"/>
  <c r="N50" i="2" s="1"/>
  <c r="F45" i="5"/>
  <c r="K45" i="5" s="1"/>
  <c r="H36" i="12"/>
  <c r="N27" i="2"/>
  <c r="N32" i="2" s="1"/>
  <c r="F53" i="4"/>
  <c r="K53" i="4" s="1"/>
  <c r="H53" i="4"/>
  <c r="M53" i="4" s="1"/>
  <c r="M16" i="2"/>
  <c r="M32" i="2" s="1"/>
  <c r="I45" i="5"/>
  <c r="N45" i="5" s="1"/>
  <c r="H45" i="5"/>
  <c r="M45" i="5" s="1"/>
  <c r="M56" i="5" s="1"/>
  <c r="M34" i="5" s="1"/>
  <c r="F47" i="4"/>
  <c r="K47" i="4" s="1"/>
  <c r="H47" i="4"/>
  <c r="M47" i="4" s="1"/>
  <c r="I47" i="4"/>
  <c r="N47" i="4" s="1"/>
  <c r="N56" i="4" s="1"/>
  <c r="N34" i="4" s="1"/>
  <c r="N36" i="4" s="1"/>
  <c r="E13" i="1" s="1"/>
  <c r="G47" i="4"/>
  <c r="L47" i="4" s="1"/>
  <c r="M36" i="5" l="1"/>
  <c r="D17" i="1" s="1"/>
  <c r="K56" i="5"/>
  <c r="K34" i="5" s="1"/>
  <c r="K36" i="5" s="1"/>
  <c r="L56" i="5"/>
  <c r="L34" i="5" s="1"/>
  <c r="L36" i="5" s="1"/>
  <c r="C17" i="1" s="1"/>
  <c r="G15" i="9"/>
  <c r="G15" i="7"/>
  <c r="K36" i="2"/>
  <c r="L36" i="2"/>
  <c r="C9" i="1" s="1"/>
  <c r="N56" i="2"/>
  <c r="N34" i="2" s="1"/>
  <c r="L56" i="4"/>
  <c r="L34" i="4" s="1"/>
  <c r="L36" i="4" s="1"/>
  <c r="C13" i="1" s="1"/>
  <c r="M56" i="4"/>
  <c r="M34" i="4" s="1"/>
  <c r="M36" i="4" s="1"/>
  <c r="D13" i="1" s="1"/>
  <c r="M56" i="2"/>
  <c r="M34" i="2" s="1"/>
  <c r="K56" i="4"/>
  <c r="K34" i="4" s="1"/>
  <c r="K36" i="4" s="1"/>
  <c r="N36" i="2"/>
  <c r="E9" i="1" s="1"/>
  <c r="B9" i="1"/>
  <c r="C21" i="1"/>
  <c r="N56" i="5"/>
  <c r="N34" i="5" s="1"/>
  <c r="N36" i="5" s="1"/>
  <c r="E17" i="1" s="1"/>
  <c r="M36" i="2"/>
  <c r="D9" i="1" s="1"/>
  <c r="D21" i="1" l="1"/>
  <c r="K37" i="5"/>
  <c r="B18" i="1" s="1"/>
  <c r="B17" i="1"/>
  <c r="K37" i="4"/>
  <c r="B14" i="1" s="1"/>
  <c r="M37" i="4"/>
  <c r="D14" i="1" s="1"/>
  <c r="N37" i="4"/>
  <c r="E14" i="1" s="1"/>
  <c r="B13" i="1"/>
  <c r="L37" i="4"/>
  <c r="C14" i="1" s="1"/>
  <c r="E21" i="1"/>
  <c r="L37" i="5"/>
  <c r="C18" i="1" s="1"/>
  <c r="N37" i="5"/>
  <c r="E18" i="1" s="1"/>
  <c r="L37" i="2"/>
  <c r="C10" i="1" s="1"/>
  <c r="M37" i="5"/>
  <c r="D18" i="1" s="1"/>
  <c r="N37" i="2"/>
  <c r="E10" i="1" s="1"/>
  <c r="B21" i="1"/>
  <c r="K37" i="2"/>
  <c r="B10" i="1" s="1"/>
  <c r="M37" i="2"/>
  <c r="D10" i="1" s="1"/>
  <c r="C22" i="1" l="1"/>
  <c r="D22" i="1"/>
  <c r="E22" i="1"/>
  <c r="B22" i="1"/>
</calcChain>
</file>

<file path=xl/comments1.xml><?xml version="1.0" encoding="utf-8"?>
<comments xmlns="http://schemas.openxmlformats.org/spreadsheetml/2006/main">
  <authors>
    <author>Barrie</author>
  </authors>
  <commentList>
    <comment ref="H10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10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11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11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14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14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15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16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16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21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21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22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22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25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25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26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26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27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27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32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32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33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33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36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36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37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37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38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38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</commentList>
</comments>
</file>

<file path=xl/comments2.xml><?xml version="1.0" encoding="utf-8"?>
<comments xmlns="http://schemas.openxmlformats.org/spreadsheetml/2006/main">
  <authors>
    <author>Barrie</author>
  </authors>
  <commentList>
    <comment ref="H10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10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11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11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14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14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15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16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16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21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21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22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22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25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25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26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26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27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27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32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32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33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33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36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36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37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37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38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38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</commentList>
</comments>
</file>

<file path=xl/comments3.xml><?xml version="1.0" encoding="utf-8"?>
<comments xmlns="http://schemas.openxmlformats.org/spreadsheetml/2006/main">
  <authors>
    <author>Barrie</author>
  </authors>
  <commentList>
    <comment ref="H10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10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11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11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14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14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15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16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16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21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21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22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22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25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25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26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26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27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27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32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32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33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33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36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36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37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37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38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38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</commentList>
</comments>
</file>

<file path=xl/comments4.xml><?xml version="1.0" encoding="utf-8"?>
<comments xmlns="http://schemas.openxmlformats.org/spreadsheetml/2006/main">
  <authors>
    <author>Barrie</author>
  </authors>
  <commentList>
    <comment ref="H10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10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11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11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14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14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15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16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16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21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21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22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22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25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25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26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26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27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27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32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32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33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33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36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36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37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37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38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38" authorId="0" shapeId="0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</commentList>
</comments>
</file>

<file path=xl/sharedStrings.xml><?xml version="1.0" encoding="utf-8"?>
<sst xmlns="http://schemas.openxmlformats.org/spreadsheetml/2006/main" count="1144" uniqueCount="220">
  <si>
    <t>Team Letter</t>
  </si>
  <si>
    <t>A</t>
  </si>
  <si>
    <t>B</t>
  </si>
  <si>
    <t>C</t>
  </si>
  <si>
    <t>D</t>
  </si>
  <si>
    <t>Region</t>
  </si>
  <si>
    <t>Judges Decision</t>
  </si>
  <si>
    <t>Team Points</t>
  </si>
  <si>
    <t>Total Raw Marks this Dance</t>
  </si>
  <si>
    <t>v</t>
  </si>
  <si>
    <t>Determination</t>
  </si>
  <si>
    <t>X</t>
  </si>
  <si>
    <t>Result</t>
  </si>
  <si>
    <t>Final Result</t>
  </si>
  <si>
    <t>1 Total raw points awarded by judges</t>
  </si>
  <si>
    <t>2 Total number of ice dancers in team</t>
  </si>
  <si>
    <t>3 Total deductions</t>
  </si>
  <si>
    <t>Adjusted points (1 + 2 - 3)</t>
  </si>
  <si>
    <t>Raw Points</t>
  </si>
  <si>
    <t>Deduction</t>
  </si>
  <si>
    <t>Deduction calculation - raw point shown only where deduction is applied.</t>
  </si>
  <si>
    <t>Junior Competition – mark sheet</t>
  </si>
  <si>
    <t>Intermediate Competition – mark sheet</t>
  </si>
  <si>
    <t>Senior Competition – mark sheet</t>
  </si>
  <si>
    <t>Points</t>
  </si>
  <si>
    <t>Place</t>
  </si>
  <si>
    <t>Overall</t>
  </si>
  <si>
    <t>Venue</t>
  </si>
  <si>
    <t>Date</t>
  </si>
  <si>
    <t>Time</t>
  </si>
  <si>
    <t>Music Control</t>
  </si>
  <si>
    <t>Tracks</t>
  </si>
  <si>
    <t>CD</t>
  </si>
  <si>
    <t>a</t>
  </si>
  <si>
    <t>b</t>
  </si>
  <si>
    <t>c</t>
  </si>
  <si>
    <t>Dance 1</t>
  </si>
  <si>
    <t>2 Sequences</t>
  </si>
  <si>
    <t>Dance 2</t>
  </si>
  <si>
    <t>1 Circuit</t>
  </si>
  <si>
    <t>Letter</t>
  </si>
  <si>
    <t>Team name</t>
  </si>
  <si>
    <t>1 Sequence</t>
  </si>
  <si>
    <t xml:space="preserve"> </t>
  </si>
  <si>
    <t>Captain</t>
  </si>
  <si>
    <t>Couple</t>
  </si>
  <si>
    <t>Lady</t>
  </si>
  <si>
    <t>Gentleman</t>
  </si>
  <si>
    <t>repeat</t>
  </si>
  <si>
    <t>Junior 1</t>
  </si>
  <si>
    <t>skater</t>
  </si>
  <si>
    <t>couple</t>
  </si>
  <si>
    <t>Junior 2</t>
  </si>
  <si>
    <t>Intermediate 1</t>
  </si>
  <si>
    <t>Intermediate 2</t>
  </si>
  <si>
    <t>Senior 1</t>
  </si>
  <si>
    <t>Senior 2</t>
  </si>
  <si>
    <t>Dance</t>
  </si>
  <si>
    <t>Track</t>
  </si>
  <si>
    <t>Done</t>
  </si>
  <si>
    <t>A v B</t>
  </si>
  <si>
    <t>A v D</t>
  </si>
  <si>
    <t>B v C</t>
  </si>
  <si>
    <t>D v C</t>
  </si>
  <si>
    <t>D v B</t>
  </si>
  <si>
    <t>C v A</t>
  </si>
  <si>
    <t>Master Sheet</t>
  </si>
  <si>
    <t>Junior</t>
  </si>
  <si>
    <t>Intermediate</t>
  </si>
  <si>
    <t>Senior</t>
  </si>
  <si>
    <t>Teams</t>
  </si>
  <si>
    <t>Heat</t>
  </si>
  <si>
    <t>Junior Competition</t>
  </si>
  <si>
    <t>Intermediate Competition</t>
  </si>
  <si>
    <t>Senior Competition</t>
  </si>
  <si>
    <t>3 Sequences</t>
  </si>
  <si>
    <t>2 Circuits</t>
  </si>
  <si>
    <t>Sequences</t>
  </si>
  <si>
    <t>Y</t>
  </si>
  <si>
    <r>
      <t>6</t>
    </r>
    <r>
      <rPr>
        <b/>
        <sz val="18"/>
        <rFont val="Arial"/>
        <family val="2"/>
      </rPr>
      <t xml:space="preserve"> % deduction </t>
    </r>
    <r>
      <rPr>
        <b/>
        <sz val="18"/>
        <rFont val="Webdings"/>
        <family val="1"/>
        <charset val="2"/>
      </rPr>
      <t>6</t>
    </r>
  </si>
  <si>
    <t>Team</t>
  </si>
  <si>
    <t>y</t>
  </si>
  <si>
    <t>values</t>
  </si>
  <si>
    <t>total</t>
  </si>
  <si>
    <t>working area</t>
  </si>
  <si>
    <t xml:space="preserve">list </t>
  </si>
  <si>
    <t>points dropped</t>
  </si>
  <si>
    <t>Win = 6 points, Draw = 4 points each, Lose = 2 points</t>
  </si>
  <si>
    <t>Point Deductions Lookup Table</t>
  </si>
  <si>
    <t>Team 1</t>
  </si>
  <si>
    <t>Team 2</t>
  </si>
  <si>
    <t>Team 3</t>
  </si>
  <si>
    <t>Team 4</t>
  </si>
  <si>
    <t>Team Name</t>
  </si>
  <si>
    <t>Junior % Deductions</t>
  </si>
  <si>
    <t>Intermediate % Deductions</t>
  </si>
  <si>
    <t>Senior % Deductions</t>
  </si>
  <si>
    <t>Tab</t>
  </si>
  <si>
    <t>South East</t>
  </si>
  <si>
    <t>North</t>
  </si>
  <si>
    <t>South West</t>
  </si>
  <si>
    <t>South Central</t>
  </si>
  <si>
    <t>x</t>
  </si>
  <si>
    <t>4 Agreed adjustment points (e.g. penalty, bonus)</t>
  </si>
  <si>
    <t>Referee</t>
  </si>
  <si>
    <t>Judges</t>
  </si>
  <si>
    <t>not used</t>
  </si>
  <si>
    <t>Adjusted points (1 + 2 - 3 + 4)</t>
  </si>
  <si>
    <t>Result Lookup Table</t>
  </si>
  <si>
    <t>Junior Result</t>
  </si>
  <si>
    <t>Intermediate Result</t>
  </si>
  <si>
    <t>Senior Result</t>
  </si>
  <si>
    <t>couple1</t>
  </si>
  <si>
    <t>couple2</t>
  </si>
  <si>
    <t>couple3</t>
  </si>
  <si>
    <t>Barrie Haigh</t>
  </si>
  <si>
    <t>Andrew Hudson</t>
  </si>
  <si>
    <t>N (team1)</t>
  </si>
  <si>
    <t>SC (team2)</t>
  </si>
  <si>
    <t>SE (team3)</t>
  </si>
  <si>
    <t>SW (team4)</t>
  </si>
  <si>
    <t>ROZ PLANT</t>
  </si>
  <si>
    <t>10th September 2016</t>
  </si>
  <si>
    <t>Solihull</t>
  </si>
  <si>
    <t>4:15 - 7:45pm</t>
  </si>
  <si>
    <t>Golden Skaters Waltz</t>
  </si>
  <si>
    <t>Riverside Rhumba</t>
  </si>
  <si>
    <t>Prelim Waltz</t>
  </si>
  <si>
    <t>14 Step</t>
  </si>
  <si>
    <t>Starlight Waltz</t>
  </si>
  <si>
    <t>Blues</t>
  </si>
  <si>
    <t>Hannah Shelbourn</t>
  </si>
  <si>
    <t>John Hemsley</t>
  </si>
  <si>
    <t>Alex Chester</t>
  </si>
  <si>
    <t>Patrick Nguyen</t>
  </si>
  <si>
    <t>Lesley Ryan</t>
  </si>
  <si>
    <t>Bob Smith</t>
  </si>
  <si>
    <t>Catherine Kempt</t>
  </si>
  <si>
    <t>Thomas Shelbourn</t>
  </si>
  <si>
    <t>Colin Hyde-Harrison</t>
  </si>
  <si>
    <t>Maddy Prentice</t>
  </si>
  <si>
    <t>David Marzell</t>
  </si>
  <si>
    <t>David May</t>
  </si>
  <si>
    <t>Abby Peacock</t>
  </si>
  <si>
    <t>Gordon Hamilton</t>
  </si>
  <si>
    <t>Mary Clarke</t>
  </si>
  <si>
    <t>Marc Peacock</t>
  </si>
  <si>
    <t>Mary Murton</t>
  </si>
  <si>
    <t>Tracy Adams</t>
  </si>
  <si>
    <t>Viv Smith</t>
  </si>
  <si>
    <t>Emily Lanfear</t>
  </si>
  <si>
    <t>Katherine Howick</t>
  </si>
  <si>
    <t>Tanya Sourenkova</t>
  </si>
  <si>
    <t>Emma Jane Godwin</t>
  </si>
  <si>
    <t>Tivoli Thompson</t>
  </si>
  <si>
    <t>Toby Palmer</t>
  </si>
  <si>
    <t>Rebekah Lanfear</t>
  </si>
  <si>
    <t>Nadia Colborne</t>
  </si>
  <si>
    <t>Catherine Wright</t>
  </si>
  <si>
    <t>Sharon Reher</t>
  </si>
  <si>
    <t>Charlotte Mann</t>
  </si>
  <si>
    <t>Olivia Palmer</t>
  </si>
  <si>
    <t>Michele Cook</t>
  </si>
  <si>
    <t>Simon Wareing</t>
  </si>
  <si>
    <t>Lisa Dunks</t>
  </si>
  <si>
    <t>Michael Trenouth</t>
  </si>
  <si>
    <t>Rachel Gibbons</t>
  </si>
  <si>
    <t>Paul Gough</t>
  </si>
  <si>
    <t>Jessica Green</t>
  </si>
  <si>
    <t>Charlie Green</t>
  </si>
  <si>
    <t>Alison Grasmeder</t>
  </si>
  <si>
    <t>David Owen</t>
  </si>
  <si>
    <t>Kathryn Hudson</t>
  </si>
  <si>
    <t>Perry Bradford</t>
  </si>
  <si>
    <t>Isabelle Lord</t>
  </si>
  <si>
    <t>Oliver Dunks</t>
  </si>
  <si>
    <t>Vicky Thorley</t>
  </si>
  <si>
    <t>Matt Ralston</t>
  </si>
  <si>
    <t>Sharon Bell</t>
  </si>
  <si>
    <t>Donna Roberts</t>
  </si>
  <si>
    <t>Frank Mullin</t>
  </si>
  <si>
    <t>Sarah Gellatly</t>
  </si>
  <si>
    <t>Harry Henderson</t>
  </si>
  <si>
    <t>Alice Williamson</t>
  </si>
  <si>
    <t>Lorraine May</t>
  </si>
  <si>
    <t>Roger Hargreaves</t>
  </si>
  <si>
    <t>Nina</t>
  </si>
  <si>
    <t>Joanne</t>
  </si>
  <si>
    <t>Trevor</t>
  </si>
  <si>
    <t>Sharon</t>
  </si>
  <si>
    <t>Anthony</t>
  </si>
  <si>
    <t>Liz</t>
  </si>
  <si>
    <t>Clive</t>
  </si>
  <si>
    <t>Hana Connor</t>
  </si>
  <si>
    <t>Brian Connor</t>
  </si>
  <si>
    <t>Jodie Russell</t>
  </si>
  <si>
    <t>Tim Sayers</t>
  </si>
  <si>
    <t>Peter Davis</t>
  </si>
  <si>
    <t>Aileen Hood</t>
  </si>
  <si>
    <t>Fiona Brown</t>
  </si>
  <si>
    <t>Randal Green</t>
  </si>
  <si>
    <t>Anna Rayna</t>
  </si>
  <si>
    <t>Ben Friedman</t>
  </si>
  <si>
    <t>Ian Williams</t>
  </si>
  <si>
    <t>Jane Derham</t>
  </si>
  <si>
    <t>John Ferrandine</t>
  </si>
  <si>
    <t>Tim Sharpe</t>
  </si>
  <si>
    <t>Helen Tandy</t>
  </si>
  <si>
    <t>Eva Ledo</t>
  </si>
  <si>
    <t>Anna Rayner</t>
  </si>
  <si>
    <t>Kat Gillbrand</t>
  </si>
  <si>
    <t>Sharon Hollis</t>
  </si>
  <si>
    <t>Steve Hollis</t>
  </si>
  <si>
    <t>Peter</t>
  </si>
  <si>
    <t>Gemma Walton</t>
  </si>
  <si>
    <t>Simon Lilley</t>
  </si>
  <si>
    <t>Karen Larsen</t>
  </si>
  <si>
    <t>Reg Field</t>
  </si>
  <si>
    <t>Elliot Crook</t>
  </si>
  <si>
    <t>Kat Gillibrand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</si>
</sst>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2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14"/>
      <color indexed="12"/>
      <name val="Tahoma"/>
      <family val="2"/>
    </font>
    <font>
      <sz val="12"/>
      <name val="Tahoma"/>
      <family val="2"/>
    </font>
    <font>
      <sz val="14"/>
      <color indexed="12"/>
      <name val="Tahoma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2"/>
      <color indexed="10"/>
      <name val="Arial"/>
      <family val="2"/>
    </font>
    <font>
      <b/>
      <sz val="14"/>
      <color indexed="14"/>
      <name val="Tahoma"/>
      <family val="2"/>
    </font>
    <font>
      <sz val="12"/>
      <color indexed="14"/>
      <name val="Arial"/>
      <family val="2"/>
    </font>
    <font>
      <sz val="14"/>
      <color indexed="14"/>
      <name val="Tahoma"/>
      <family val="2"/>
    </font>
    <font>
      <sz val="12"/>
      <color indexed="12"/>
      <name val="Arial"/>
      <family val="2"/>
    </font>
    <font>
      <b/>
      <sz val="18"/>
      <color indexed="14"/>
      <name val="Arial"/>
      <family val="2"/>
    </font>
    <font>
      <sz val="10"/>
      <color indexed="14"/>
      <name val="Arial"/>
      <family val="2"/>
    </font>
    <font>
      <b/>
      <sz val="18"/>
      <color indexed="12"/>
      <name val="Arial"/>
      <family val="2"/>
    </font>
    <font>
      <sz val="10"/>
      <color indexed="12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4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b/>
      <sz val="20"/>
      <color indexed="14"/>
      <name val="Tahoma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4"/>
      <color indexed="9"/>
      <name val="Arial"/>
      <family val="2"/>
    </font>
    <font>
      <b/>
      <sz val="20"/>
      <color indexed="12"/>
      <name val="Tahoma"/>
      <family val="2"/>
    </font>
    <font>
      <sz val="10"/>
      <color indexed="12"/>
      <name val="Arial"/>
      <family val="2"/>
    </font>
    <font>
      <b/>
      <sz val="20"/>
      <name val="Tahoma"/>
      <family val="2"/>
    </font>
    <font>
      <sz val="10"/>
      <name val="Arial"/>
      <family val="2"/>
    </font>
    <font>
      <sz val="14"/>
      <color indexed="9"/>
      <name val="Tahoma"/>
      <family val="2"/>
    </font>
    <font>
      <sz val="20"/>
      <name val="Arial"/>
      <family val="2"/>
    </font>
    <font>
      <b/>
      <sz val="18"/>
      <name val="Tahoma"/>
      <family val="2"/>
    </font>
    <font>
      <sz val="18"/>
      <name val="Arial"/>
      <family val="2"/>
    </font>
    <font>
      <sz val="18"/>
      <name val="Tahoma"/>
      <family val="2"/>
    </font>
    <font>
      <b/>
      <sz val="18"/>
      <name val="Webdings"/>
      <family val="1"/>
      <charset val="2"/>
    </font>
    <font>
      <sz val="10"/>
      <name val="Arial"/>
      <family val="2"/>
    </font>
    <font>
      <b/>
      <sz val="12"/>
      <name val="Tahoma"/>
      <family val="2"/>
    </font>
    <font>
      <b/>
      <sz val="14"/>
      <color indexed="10"/>
      <name val="Tahoma"/>
      <family val="2"/>
    </font>
    <font>
      <sz val="8"/>
      <name val="Arial"/>
      <family val="2"/>
    </font>
    <font>
      <b/>
      <sz val="14"/>
      <color indexed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</fills>
  <borders count="7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dashDot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dashDot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8" fillId="0" borderId="0"/>
  </cellStyleXfs>
  <cellXfs count="474">
    <xf numFmtId="0" fontId="0" fillId="0" borderId="0" xfId="0"/>
    <xf numFmtId="0" fontId="9" fillId="0" borderId="1" xfId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center" vertical="center" wrapText="1"/>
    </xf>
    <xf numFmtId="1" fontId="4" fillId="0" borderId="23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" fontId="4" fillId="0" borderId="26" xfId="0" applyNumberFormat="1" applyFont="1" applyFill="1" applyBorder="1" applyAlignment="1">
      <alignment horizontal="center" vertical="center" wrapText="1"/>
    </xf>
    <xf numFmtId="1" fontId="4" fillId="0" borderId="27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9" fillId="0" borderId="0" xfId="0" applyFont="1"/>
    <xf numFmtId="0" fontId="29" fillId="0" borderId="0" xfId="0" applyFont="1" applyAlignment="1">
      <alignment vertical="center"/>
    </xf>
    <xf numFmtId="0" fontId="28" fillId="0" borderId="22" xfId="0" applyFont="1" applyBorder="1" applyAlignment="1">
      <alignment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26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28" fillId="0" borderId="26" xfId="0" applyFont="1" applyBorder="1" applyAlignment="1">
      <alignment vertical="center"/>
    </xf>
    <xf numFmtId="49" fontId="29" fillId="0" borderId="0" xfId="0" applyNumberFormat="1" applyFont="1" applyAlignment="1">
      <alignment vertical="center"/>
    </xf>
    <xf numFmtId="0" fontId="28" fillId="0" borderId="16" xfId="0" applyFont="1" applyBorder="1" applyAlignment="1">
      <alignment vertical="center"/>
    </xf>
    <xf numFmtId="1" fontId="4" fillId="0" borderId="27" xfId="0" applyNumberFormat="1" applyFont="1" applyFill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164" fontId="28" fillId="4" borderId="2" xfId="0" applyNumberFormat="1" applyFont="1" applyFill="1" applyBorder="1" applyAlignment="1">
      <alignment horizontal="center" vertical="center"/>
    </xf>
    <xf numFmtId="164" fontId="28" fillId="4" borderId="25" xfId="0" applyNumberFormat="1" applyFont="1" applyFill="1" applyBorder="1" applyAlignment="1">
      <alignment horizontal="center" vertical="center"/>
    </xf>
    <xf numFmtId="0" fontId="28" fillId="4" borderId="27" xfId="0" applyFont="1" applyFill="1" applyBorder="1" applyAlignment="1" applyProtection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9" fillId="0" borderId="0" xfId="1" applyFont="1" applyBorder="1" applyAlignment="1">
      <alignment vertical="center"/>
    </xf>
    <xf numFmtId="0" fontId="10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vertical="center"/>
    </xf>
    <xf numFmtId="0" fontId="10" fillId="0" borderId="22" xfId="1" applyFont="1" applyBorder="1" applyAlignment="1">
      <alignment horizontal="center" vertical="center"/>
    </xf>
    <xf numFmtId="0" fontId="10" fillId="0" borderId="23" xfId="1" applyFont="1" applyBorder="1" applyAlignment="1">
      <alignment horizontal="center" vertical="center"/>
    </xf>
    <xf numFmtId="0" fontId="10" fillId="0" borderId="24" xfId="1" applyFont="1" applyBorder="1" applyAlignment="1">
      <alignment vertical="center"/>
    </xf>
    <xf numFmtId="0" fontId="10" fillId="0" borderId="16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25" xfId="1" applyFont="1" applyBorder="1" applyAlignment="1">
      <alignment vertical="center"/>
    </xf>
    <xf numFmtId="0" fontId="10" fillId="0" borderId="26" xfId="1" applyFont="1" applyBorder="1" applyAlignment="1">
      <alignment horizontal="center" vertical="center"/>
    </xf>
    <xf numFmtId="0" fontId="10" fillId="0" borderId="27" xfId="1" applyFont="1" applyBorder="1" applyAlignment="1">
      <alignment horizontal="center" vertical="center"/>
    </xf>
    <xf numFmtId="0" fontId="10" fillId="0" borderId="30" xfId="1" applyFont="1" applyBorder="1" applyAlignment="1">
      <alignment vertical="center"/>
    </xf>
    <xf numFmtId="0" fontId="10" fillId="0" borderId="22" xfId="1" applyFont="1" applyFill="1" applyBorder="1" applyAlignment="1">
      <alignment horizontal="center" vertical="center"/>
    </xf>
    <xf numFmtId="0" fontId="10" fillId="0" borderId="24" xfId="1" applyFont="1" applyFill="1" applyBorder="1" applyAlignment="1">
      <alignment vertical="center"/>
    </xf>
    <xf numFmtId="0" fontId="10" fillId="0" borderId="16" xfId="1" applyFont="1" applyFill="1" applyBorder="1" applyAlignment="1">
      <alignment horizontal="center" vertical="center"/>
    </xf>
    <xf numFmtId="0" fontId="10" fillId="0" borderId="25" xfId="1" applyFont="1" applyFill="1" applyBorder="1" applyAlignment="1">
      <alignment vertical="center"/>
    </xf>
    <xf numFmtId="0" fontId="10" fillId="0" borderId="26" xfId="1" applyFont="1" applyFill="1" applyBorder="1" applyAlignment="1">
      <alignment horizontal="center" vertical="center"/>
    </xf>
    <xf numFmtId="0" fontId="10" fillId="0" borderId="30" xfId="1" applyFont="1" applyFill="1" applyBorder="1" applyAlignment="1">
      <alignment vertical="center"/>
    </xf>
    <xf numFmtId="0" fontId="10" fillId="0" borderId="23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27" xfId="1" applyFont="1" applyFill="1" applyBorder="1" applyAlignment="1">
      <alignment horizontal="center" vertical="center"/>
    </xf>
    <xf numFmtId="0" fontId="7" fillId="0" borderId="0" xfId="1" applyFont="1" applyBorder="1" applyAlignment="1" applyProtection="1">
      <alignment vertical="center"/>
    </xf>
    <xf numFmtId="0" fontId="43" fillId="0" borderId="0" xfId="1" applyFont="1" applyAlignment="1" applyProtection="1">
      <alignment horizontal="left" vertical="center"/>
    </xf>
    <xf numFmtId="0" fontId="44" fillId="0" borderId="0" xfId="1" applyFont="1" applyAlignment="1" applyProtection="1">
      <alignment vertical="center"/>
    </xf>
    <xf numFmtId="0" fontId="45" fillId="0" borderId="0" xfId="1" applyFont="1" applyAlignment="1" applyProtection="1">
      <alignment vertical="center"/>
    </xf>
    <xf numFmtId="0" fontId="43" fillId="0" borderId="0" xfId="1" applyFont="1" applyAlignment="1" applyProtection="1">
      <alignment horizontal="center" vertical="center"/>
    </xf>
    <xf numFmtId="0" fontId="10" fillId="0" borderId="0" xfId="1" applyFont="1" applyAlignment="1" applyProtection="1">
      <alignment vertical="center"/>
    </xf>
    <xf numFmtId="0" fontId="10" fillId="0" borderId="0" xfId="1" applyFont="1" applyBorder="1" applyAlignment="1" applyProtection="1">
      <alignment vertical="center"/>
    </xf>
    <xf numFmtId="0" fontId="10" fillId="0" borderId="0" xfId="1" applyFont="1" applyAlignment="1" applyProtection="1">
      <alignment horizontal="center" vertical="center"/>
    </xf>
    <xf numFmtId="0" fontId="9" fillId="0" borderId="31" xfId="1" applyFont="1" applyBorder="1" applyAlignment="1" applyProtection="1">
      <alignment vertical="center"/>
    </xf>
    <xf numFmtId="0" fontId="9" fillId="0" borderId="2" xfId="1" applyFont="1" applyBorder="1" applyAlignment="1" applyProtection="1">
      <alignment vertical="center"/>
    </xf>
    <xf numFmtId="0" fontId="10" fillId="0" borderId="2" xfId="1" applyFont="1" applyBorder="1" applyAlignment="1" applyProtection="1">
      <alignment horizontal="left" vertical="center"/>
    </xf>
    <xf numFmtId="0" fontId="10" fillId="0" borderId="32" xfId="1" applyFont="1" applyBorder="1" applyAlignment="1" applyProtection="1">
      <alignment horizontal="center" vertical="center"/>
    </xf>
    <xf numFmtId="0" fontId="10" fillId="0" borderId="17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vertical="center"/>
    </xf>
    <xf numFmtId="0" fontId="10" fillId="0" borderId="0" xfId="1" applyFont="1" applyBorder="1" applyAlignment="1" applyProtection="1">
      <alignment horizontal="right" vertical="center"/>
    </xf>
    <xf numFmtId="0" fontId="19" fillId="0" borderId="33" xfId="1" applyFont="1" applyBorder="1" applyAlignment="1" applyProtection="1">
      <alignment horizontal="left" vertical="center"/>
    </xf>
    <xf numFmtId="0" fontId="19" fillId="0" borderId="33" xfId="1" applyFont="1" applyBorder="1" applyAlignment="1" applyProtection="1">
      <alignment vertical="center"/>
    </xf>
    <xf numFmtId="0" fontId="10" fillId="0" borderId="34" xfId="1" applyFont="1" applyBorder="1" applyAlignment="1" applyProtection="1">
      <alignment vertical="center"/>
    </xf>
    <xf numFmtId="0" fontId="9" fillId="0" borderId="0" xfId="1" applyFont="1" applyAlignment="1" applyProtection="1">
      <alignment horizontal="center" vertical="center"/>
    </xf>
    <xf numFmtId="0" fontId="10" fillId="5" borderId="14" xfId="1" applyFont="1" applyFill="1" applyBorder="1" applyAlignment="1" applyProtection="1">
      <alignment vertical="center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Border="1" applyAlignment="1" applyProtection="1">
      <alignment horizontal="center" vertical="center"/>
    </xf>
    <xf numFmtId="0" fontId="10" fillId="5" borderId="2" xfId="1" applyFont="1" applyFill="1" applyBorder="1" applyAlignment="1" applyProtection="1">
      <alignment vertical="center"/>
    </xf>
    <xf numFmtId="0" fontId="10" fillId="2" borderId="2" xfId="1" applyFont="1" applyFill="1" applyBorder="1" applyAlignment="1" applyProtection="1">
      <alignment horizontal="center" vertical="center"/>
      <protection locked="0"/>
    </xf>
    <xf numFmtId="0" fontId="41" fillId="0" borderId="0" xfId="1" applyFont="1" applyBorder="1" applyAlignment="1" applyProtection="1">
      <alignment horizontal="center" vertical="center"/>
      <protection hidden="1"/>
    </xf>
    <xf numFmtId="0" fontId="12" fillId="0" borderId="0" xfId="1" applyFont="1" applyAlignment="1" applyProtection="1">
      <alignment vertical="center"/>
    </xf>
    <xf numFmtId="0" fontId="12" fillId="0" borderId="0" xfId="1" applyFont="1" applyAlignment="1" applyProtection="1">
      <alignment horizontal="center" vertical="center"/>
    </xf>
    <xf numFmtId="0" fontId="12" fillId="0" borderId="35" xfId="1" applyFont="1" applyBorder="1" applyAlignment="1" applyProtection="1">
      <alignment vertical="center"/>
    </xf>
    <xf numFmtId="0" fontId="12" fillId="0" borderId="35" xfId="1" applyFont="1" applyBorder="1" applyAlignment="1" applyProtection="1">
      <alignment horizontal="center" vertical="center"/>
    </xf>
    <xf numFmtId="0" fontId="13" fillId="0" borderId="33" xfId="1" applyFont="1" applyBorder="1" applyAlignment="1" applyProtection="1">
      <alignment horizontal="left" vertical="center"/>
    </xf>
    <xf numFmtId="0" fontId="13" fillId="0" borderId="33" xfId="1" applyFont="1" applyBorder="1" applyAlignment="1" applyProtection="1">
      <alignment vertical="center"/>
    </xf>
    <xf numFmtId="0" fontId="10" fillId="0" borderId="33" xfId="1" applyFont="1" applyBorder="1" applyAlignment="1" applyProtection="1">
      <alignment horizontal="left" vertical="center"/>
    </xf>
    <xf numFmtId="0" fontId="10" fillId="0" borderId="33" xfId="1" applyFont="1" applyBorder="1" applyAlignment="1" applyProtection="1">
      <alignment vertical="center"/>
    </xf>
    <xf numFmtId="0" fontId="4" fillId="0" borderId="2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" fillId="0" borderId="36" xfId="0" applyFont="1" applyFill="1" applyBorder="1" applyAlignment="1" applyProtection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Alignment="1">
      <alignment vertical="center"/>
    </xf>
    <xf numFmtId="164" fontId="47" fillId="0" borderId="0" xfId="0" applyNumberFormat="1" applyFont="1" applyAlignment="1">
      <alignment vertical="center"/>
    </xf>
    <xf numFmtId="0" fontId="3" fillId="0" borderId="0" xfId="1" applyFont="1" applyBorder="1" applyAlignment="1">
      <alignment vertical="center"/>
    </xf>
    <xf numFmtId="0" fontId="44" fillId="0" borderId="0" xfId="1" applyFont="1" applyBorder="1" applyAlignment="1">
      <alignment vertical="center"/>
    </xf>
    <xf numFmtId="0" fontId="44" fillId="0" borderId="0" xfId="1" applyFont="1" applyAlignment="1">
      <alignment vertical="center"/>
    </xf>
    <xf numFmtId="0" fontId="44" fillId="0" borderId="0" xfId="1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1" fontId="4" fillId="0" borderId="38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7" xfId="0" applyFont="1" applyBorder="1" applyAlignment="1" applyProtection="1">
      <alignment horizontal="center" vertical="center" wrapText="1"/>
    </xf>
    <xf numFmtId="0" fontId="4" fillId="0" borderId="41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 wrapText="1"/>
    </xf>
    <xf numFmtId="0" fontId="23" fillId="0" borderId="0" xfId="0" applyFont="1" applyAlignment="1">
      <alignment vertical="center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45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1" fontId="4" fillId="0" borderId="46" xfId="0" applyNumberFormat="1" applyFont="1" applyBorder="1" applyAlignment="1">
      <alignment horizontal="center" vertical="center"/>
    </xf>
    <xf numFmtId="1" fontId="4" fillId="0" borderId="31" xfId="0" applyNumberFormat="1" applyFont="1" applyBorder="1" applyAlignment="1">
      <alignment horizontal="center" vertical="center"/>
    </xf>
    <xf numFmtId="1" fontId="4" fillId="0" borderId="37" xfId="0" applyNumberFormat="1" applyFont="1" applyBorder="1" applyAlignment="1">
      <alignment horizontal="center" vertical="center"/>
    </xf>
    <xf numFmtId="164" fontId="4" fillId="0" borderId="28" xfId="0" applyNumberFormat="1" applyFont="1" applyBorder="1" applyAlignment="1">
      <alignment horizontal="center" vertical="center"/>
    </xf>
    <xf numFmtId="164" fontId="4" fillId="0" borderId="38" xfId="0" applyNumberFormat="1" applyFont="1" applyBorder="1" applyAlignment="1">
      <alignment horizontal="center" vertical="center"/>
    </xf>
    <xf numFmtId="1" fontId="4" fillId="0" borderId="47" xfId="0" applyNumberFormat="1" applyFont="1" applyBorder="1" applyAlignment="1">
      <alignment horizontal="center" vertical="center"/>
    </xf>
    <xf numFmtId="1" fontId="4" fillId="0" borderId="39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4" fillId="0" borderId="40" xfId="0" applyNumberFormat="1" applyFont="1" applyBorder="1" applyAlignment="1">
      <alignment horizontal="center" vertical="center"/>
    </xf>
    <xf numFmtId="0" fontId="4" fillId="0" borderId="48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/>
    </xf>
    <xf numFmtId="0" fontId="4" fillId="0" borderId="50" xfId="0" applyFont="1" applyBorder="1" applyAlignment="1" applyProtection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7" fillId="2" borderId="0" xfId="1" applyFont="1" applyFill="1" applyBorder="1" applyAlignment="1" applyProtection="1">
      <alignment vertical="center"/>
      <protection locked="0"/>
    </xf>
    <xf numFmtId="0" fontId="2" fillId="0" borderId="0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14" fillId="0" borderId="0" xfId="1" applyFont="1" applyBorder="1" applyAlignment="1" applyProtection="1">
      <alignment vertical="center"/>
    </xf>
    <xf numFmtId="49" fontId="7" fillId="2" borderId="0" xfId="1" applyNumberFormat="1" applyFont="1" applyFill="1" applyBorder="1" applyAlignment="1" applyProtection="1">
      <alignment horizontal="left" vertical="center"/>
      <protection locked="0"/>
    </xf>
    <xf numFmtId="20" fontId="7" fillId="2" borderId="0" xfId="1" applyNumberFormat="1" applyFont="1" applyFill="1" applyBorder="1" applyAlignment="1" applyProtection="1">
      <alignment vertical="center"/>
      <protection locked="0"/>
    </xf>
    <xf numFmtId="0" fontId="25" fillId="0" borderId="0" xfId="1" applyFont="1" applyFill="1" applyBorder="1" applyAlignment="1" applyProtection="1">
      <alignment vertical="center"/>
    </xf>
    <xf numFmtId="0" fontId="7" fillId="0" borderId="0" xfId="1" applyFont="1" applyBorder="1" applyAlignment="1" applyProtection="1">
      <alignment horizontal="left" vertical="center"/>
    </xf>
    <xf numFmtId="0" fontId="15" fillId="0" borderId="0" xfId="1" applyFont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  <protection locked="0"/>
    </xf>
    <xf numFmtId="0" fontId="36" fillId="0" borderId="0" xfId="1" applyFont="1" applyAlignment="1" applyProtection="1">
      <alignment vertical="center"/>
    </xf>
    <xf numFmtId="0" fontId="26" fillId="0" borderId="0" xfId="1" applyFont="1" applyFill="1" applyBorder="1" applyAlignment="1" applyProtection="1">
      <alignment vertical="center"/>
    </xf>
    <xf numFmtId="0" fontId="14" fillId="0" borderId="0" xfId="1" applyFont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14" fillId="0" borderId="0" xfId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16" fillId="0" borderId="0" xfId="1" applyFont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</xf>
    <xf numFmtId="0" fontId="19" fillId="0" borderId="51" xfId="1" applyFont="1" applyBorder="1" applyAlignment="1">
      <alignment horizontal="left" vertical="center"/>
    </xf>
    <xf numFmtId="0" fontId="19" fillId="0" borderId="33" xfId="1" applyFont="1" applyBorder="1" applyAlignment="1">
      <alignment vertical="center"/>
    </xf>
    <xf numFmtId="0" fontId="19" fillId="0" borderId="34" xfId="1" applyFont="1" applyBorder="1" applyAlignment="1">
      <alignment vertical="center"/>
    </xf>
    <xf numFmtId="0" fontId="13" fillId="0" borderId="51" xfId="1" applyFont="1" applyBorder="1" applyAlignment="1">
      <alignment horizontal="left" vertical="center"/>
    </xf>
    <xf numFmtId="0" fontId="13" fillId="0" borderId="33" xfId="1" applyFont="1" applyBorder="1" applyAlignment="1">
      <alignment vertical="center"/>
    </xf>
    <xf numFmtId="0" fontId="13" fillId="0" borderId="34" xfId="1" applyFont="1" applyBorder="1" applyAlignment="1">
      <alignment vertical="center"/>
    </xf>
    <xf numFmtId="0" fontId="10" fillId="0" borderId="51" xfId="1" applyFont="1" applyBorder="1" applyAlignment="1">
      <alignment horizontal="left" vertical="center"/>
    </xf>
    <xf numFmtId="0" fontId="10" fillId="0" borderId="33" xfId="1" applyFont="1" applyBorder="1" applyAlignment="1">
      <alignment vertical="center"/>
    </xf>
    <xf numFmtId="0" fontId="10" fillId="0" borderId="34" xfId="1" applyFont="1" applyBorder="1" applyAlignment="1">
      <alignment vertical="center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36" xfId="0" applyFont="1" applyFill="1" applyBorder="1" applyAlignment="1" applyProtection="1">
      <alignment horizontal="center" vertical="center" wrapText="1"/>
    </xf>
    <xf numFmtId="0" fontId="10" fillId="0" borderId="0" xfId="1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right" vertical="center"/>
    </xf>
    <xf numFmtId="0" fontId="12" fillId="0" borderId="52" xfId="1" applyFont="1" applyBorder="1" applyAlignment="1" applyProtection="1">
      <alignment horizontal="right" vertical="center"/>
    </xf>
    <xf numFmtId="0" fontId="0" fillId="0" borderId="52" xfId="0" applyBorder="1" applyAlignment="1">
      <alignment horizontal="right" vertical="center"/>
    </xf>
    <xf numFmtId="0" fontId="12" fillId="0" borderId="0" xfId="1" applyFont="1" applyBorder="1" applyAlignment="1" applyProtection="1">
      <alignment vertical="center"/>
    </xf>
    <xf numFmtId="0" fontId="49" fillId="0" borderId="0" xfId="1" applyFont="1" applyBorder="1" applyAlignment="1" applyProtection="1">
      <alignment vertical="center"/>
    </xf>
    <xf numFmtId="0" fontId="10" fillId="0" borderId="10" xfId="1" applyFont="1" applyBorder="1" applyAlignment="1" applyProtection="1">
      <alignment vertical="center"/>
    </xf>
    <xf numFmtId="0" fontId="12" fillId="0" borderId="53" xfId="1" applyFont="1" applyBorder="1" applyAlignment="1" applyProtection="1">
      <alignment vertical="center"/>
    </xf>
    <xf numFmtId="0" fontId="12" fillId="0" borderId="10" xfId="1" applyFont="1" applyBorder="1" applyAlignment="1" applyProtection="1">
      <alignment vertical="center"/>
    </xf>
    <xf numFmtId="0" fontId="10" fillId="0" borderId="53" xfId="1" applyFont="1" applyBorder="1" applyAlignment="1" applyProtection="1">
      <alignment vertical="center"/>
    </xf>
    <xf numFmtId="0" fontId="48" fillId="0" borderId="53" xfId="1" applyFont="1" applyBorder="1" applyAlignment="1" applyProtection="1">
      <alignment horizontal="right" vertical="center"/>
    </xf>
    <xf numFmtId="0" fontId="48" fillId="0" borderId="54" xfId="1" applyFont="1" applyBorder="1" applyAlignment="1" applyProtection="1">
      <alignment horizontal="right" vertical="center"/>
    </xf>
    <xf numFmtId="0" fontId="49" fillId="0" borderId="55" xfId="1" applyFont="1" applyBorder="1" applyAlignment="1" applyProtection="1">
      <alignment vertical="center"/>
    </xf>
    <xf numFmtId="0" fontId="12" fillId="0" borderId="56" xfId="1" applyFont="1" applyBorder="1" applyAlignment="1" applyProtection="1">
      <alignment vertical="center"/>
    </xf>
    <xf numFmtId="0" fontId="10" fillId="0" borderId="19" xfId="1" applyFont="1" applyBorder="1" applyAlignment="1" applyProtection="1">
      <alignment horizontal="center" vertical="center"/>
    </xf>
    <xf numFmtId="0" fontId="10" fillId="0" borderId="8" xfId="1" applyFont="1" applyBorder="1" applyAlignment="1" applyProtection="1">
      <alignment horizontal="center" vertical="center"/>
    </xf>
    <xf numFmtId="0" fontId="10" fillId="0" borderId="3" xfId="1" applyFont="1" applyBorder="1" applyAlignment="1" applyProtection="1">
      <alignment horizontal="center" vertical="center"/>
    </xf>
    <xf numFmtId="0" fontId="4" fillId="4" borderId="16" xfId="0" applyFont="1" applyFill="1" applyBorder="1" applyAlignment="1" applyProtection="1">
      <alignment horizontal="center" vertical="center"/>
    </xf>
    <xf numFmtId="0" fontId="45" fillId="0" borderId="0" xfId="1" applyFont="1" applyAlignment="1" applyProtection="1">
      <alignment horizontal="center" vertical="center"/>
    </xf>
    <xf numFmtId="0" fontId="10" fillId="0" borderId="45" xfId="1" applyFont="1" applyBorder="1" applyAlignment="1" applyProtection="1">
      <alignment horizontal="center" vertical="center"/>
    </xf>
    <xf numFmtId="0" fontId="4" fillId="4" borderId="57" xfId="0" applyFont="1" applyFill="1" applyBorder="1" applyAlignment="1" applyProtection="1">
      <alignment horizontal="center" vertical="center" wrapText="1"/>
    </xf>
    <xf numFmtId="0" fontId="4" fillId="4" borderId="58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25" xfId="0" applyFont="1" applyFill="1" applyBorder="1" applyAlignment="1" applyProtection="1">
      <alignment horizontal="center" vertical="center"/>
    </xf>
    <xf numFmtId="0" fontId="4" fillId="4" borderId="26" xfId="0" applyFont="1" applyFill="1" applyBorder="1" applyAlignment="1" applyProtection="1">
      <alignment horizontal="center" vertical="center" wrapText="1"/>
    </xf>
    <xf numFmtId="0" fontId="44" fillId="4" borderId="0" xfId="1" applyFont="1" applyFill="1" applyBorder="1" applyAlignment="1">
      <alignment horizontal="left" vertical="center"/>
    </xf>
    <xf numFmtId="0" fontId="44" fillId="4" borderId="0" xfId="1" applyFont="1" applyFill="1" applyAlignment="1">
      <alignment vertical="center"/>
    </xf>
    <xf numFmtId="49" fontId="7" fillId="2" borderId="0" xfId="1" applyNumberFormat="1" applyFont="1" applyFill="1" applyBorder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56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10" fillId="4" borderId="0" xfId="1" applyFont="1" applyFill="1" applyBorder="1" applyAlignment="1">
      <alignment horizontal="left" vertical="center"/>
    </xf>
    <xf numFmtId="0" fontId="10" fillId="4" borderId="0" xfId="1" applyFont="1" applyFill="1" applyAlignment="1">
      <alignment vertical="center"/>
    </xf>
    <xf numFmtId="0" fontId="10" fillId="4" borderId="0" xfId="1" applyFont="1" applyFill="1" applyBorder="1" applyAlignment="1">
      <alignment vertical="center"/>
    </xf>
    <xf numFmtId="0" fontId="10" fillId="2" borderId="17" xfId="1" applyFont="1" applyFill="1" applyBorder="1" applyAlignment="1" applyProtection="1">
      <alignment horizontal="center" vertical="center"/>
      <protection locked="0"/>
    </xf>
    <xf numFmtId="0" fontId="10" fillId="4" borderId="59" xfId="1" applyFont="1" applyFill="1" applyBorder="1" applyAlignment="1" applyProtection="1">
      <alignment horizontal="center" vertical="center"/>
    </xf>
    <xf numFmtId="0" fontId="10" fillId="4" borderId="60" xfId="1" applyFont="1" applyFill="1" applyBorder="1" applyAlignment="1" applyProtection="1">
      <alignment horizontal="center" vertical="center"/>
    </xf>
    <xf numFmtId="0" fontId="10" fillId="4" borderId="61" xfId="1" applyFont="1" applyFill="1" applyBorder="1" applyAlignment="1" applyProtection="1">
      <alignment horizontal="center" vertical="center"/>
    </xf>
    <xf numFmtId="164" fontId="4" fillId="6" borderId="16" xfId="0" applyNumberFormat="1" applyFont="1" applyFill="1" applyBorder="1" applyAlignment="1" applyProtection="1">
      <alignment horizontal="center" vertical="center"/>
      <protection locked="0"/>
    </xf>
    <xf numFmtId="164" fontId="4" fillId="6" borderId="17" xfId="0" applyNumberFormat="1" applyFont="1" applyFill="1" applyBorder="1" applyAlignment="1" applyProtection="1">
      <alignment horizontal="center" vertical="center"/>
      <protection locked="0"/>
    </xf>
    <xf numFmtId="164" fontId="4" fillId="6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7" fillId="0" borderId="51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60" xfId="0" applyFont="1" applyFill="1" applyBorder="1" applyAlignment="1">
      <alignment horizontal="center" vertical="center"/>
    </xf>
    <xf numFmtId="0" fontId="2" fillId="0" borderId="54" xfId="0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0" fontId="7" fillId="4" borderId="6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7" fillId="4" borderId="63" xfId="0" applyFont="1" applyFill="1" applyBorder="1" applyAlignment="1">
      <alignment horizontal="center" vertical="center"/>
    </xf>
    <xf numFmtId="0" fontId="2" fillId="0" borderId="0" xfId="1" applyFont="1" applyFill="1" applyBorder="1" applyAlignment="1" applyProtection="1">
      <alignment horizontal="right" vertical="center"/>
    </xf>
    <xf numFmtId="0" fontId="27" fillId="0" borderId="0" xfId="1" applyFont="1" applyBorder="1" applyAlignment="1" applyProtection="1">
      <alignment horizontal="center" vertical="center"/>
    </xf>
    <xf numFmtId="0" fontId="35" fillId="0" borderId="0" xfId="0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0" fillId="2" borderId="45" xfId="1" applyFont="1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10" fillId="2" borderId="47" xfId="1" applyFont="1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10" fillId="2" borderId="31" xfId="1" applyFont="1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9" fillId="0" borderId="51" xfId="1" applyFont="1" applyBorder="1" applyAlignment="1" applyProtection="1">
      <alignment vertical="center"/>
    </xf>
    <xf numFmtId="0" fontId="8" fillId="0" borderId="33" xfId="1" applyFont="1" applyBorder="1" applyAlignment="1" applyProtection="1">
      <alignment vertical="center"/>
    </xf>
    <xf numFmtId="0" fontId="10" fillId="0" borderId="64" xfId="1" applyFont="1" applyBorder="1" applyAlignment="1" applyProtection="1">
      <alignment horizontal="center" vertical="center"/>
    </xf>
    <xf numFmtId="0" fontId="10" fillId="0" borderId="49" xfId="1" applyFont="1" applyBorder="1" applyAlignment="1" applyProtection="1">
      <alignment horizontal="center" vertical="center"/>
    </xf>
    <xf numFmtId="0" fontId="10" fillId="0" borderId="65" xfId="1" applyFont="1" applyBorder="1" applyAlignment="1" applyProtection="1">
      <alignment horizontal="center" vertical="center"/>
    </xf>
    <xf numFmtId="0" fontId="11" fillId="0" borderId="51" xfId="1" applyFont="1" applyBorder="1" applyAlignment="1" applyProtection="1">
      <alignment vertical="center"/>
    </xf>
    <xf numFmtId="0" fontId="20" fillId="0" borderId="33" xfId="1" applyFont="1" applyBorder="1" applyAlignment="1" applyProtection="1">
      <alignment vertical="center"/>
    </xf>
    <xf numFmtId="0" fontId="17" fillId="0" borderId="51" xfId="1" applyFont="1" applyBorder="1" applyAlignment="1" applyProtection="1">
      <alignment vertical="center"/>
    </xf>
    <xf numFmtId="0" fontId="18" fillId="0" borderId="33" xfId="1" applyFont="1" applyBorder="1" applyAlignment="1" applyProtection="1">
      <alignment vertical="center"/>
    </xf>
    <xf numFmtId="0" fontId="10" fillId="0" borderId="31" xfId="1" applyFont="1" applyBorder="1" applyAlignment="1" applyProtection="1">
      <alignment horizontal="left" vertical="center"/>
    </xf>
    <xf numFmtId="0" fontId="8" fillId="0" borderId="32" xfId="1" applyFont="1" applyBorder="1" applyAlignment="1" applyProtection="1">
      <alignment vertical="center"/>
    </xf>
    <xf numFmtId="0" fontId="8" fillId="0" borderId="17" xfId="1" applyFont="1" applyBorder="1" applyAlignment="1" applyProtection="1">
      <alignment vertical="center"/>
    </xf>
    <xf numFmtId="0" fontId="10" fillId="0" borderId="0" xfId="1" applyFont="1" applyAlignment="1" applyProtection="1">
      <alignment horizontal="center" vertical="center"/>
    </xf>
    <xf numFmtId="0" fontId="10" fillId="2" borderId="31" xfId="1" applyFont="1" applyFill="1" applyBorder="1" applyAlignment="1" applyProtection="1">
      <alignment vertical="center"/>
      <protection locked="0"/>
    </xf>
    <xf numFmtId="0" fontId="8" fillId="2" borderId="32" xfId="1" applyFill="1" applyBorder="1" applyAlignment="1" applyProtection="1">
      <alignment vertical="center"/>
      <protection locked="0"/>
    </xf>
    <xf numFmtId="0" fontId="8" fillId="2" borderId="17" xfId="1" applyFill="1" applyBorder="1" applyAlignment="1" applyProtection="1">
      <alignment vertical="center"/>
      <protection locked="0"/>
    </xf>
    <xf numFmtId="0" fontId="10" fillId="2" borderId="46" xfId="1" applyFont="1" applyFill="1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2" borderId="66" xfId="0" applyFill="1" applyBorder="1" applyAlignment="1" applyProtection="1">
      <alignment vertical="center"/>
      <protection locked="0"/>
    </xf>
    <xf numFmtId="0" fontId="0" fillId="2" borderId="67" xfId="0" applyFill="1" applyBorder="1" applyAlignment="1" applyProtection="1">
      <alignment vertical="center"/>
      <protection locked="0"/>
    </xf>
    <xf numFmtId="0" fontId="0" fillId="2" borderId="32" xfId="0" applyFill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0" fontId="1" fillId="2" borderId="17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3" fillId="0" borderId="69" xfId="0" applyFont="1" applyBorder="1" applyAlignment="1">
      <alignment horizontal="center" vertical="center" wrapText="1"/>
    </xf>
    <xf numFmtId="0" fontId="47" fillId="0" borderId="66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47" fillId="0" borderId="2" xfId="0" applyFont="1" applyBorder="1" applyAlignment="1">
      <alignment vertical="center"/>
    </xf>
    <xf numFmtId="0" fontId="46" fillId="0" borderId="70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1" fillId="0" borderId="69" xfId="0" applyFont="1" applyFill="1" applyBorder="1" applyAlignment="1" applyProtection="1">
      <alignment vertical="center" wrapText="1"/>
    </xf>
    <xf numFmtId="0" fontId="47" fillId="0" borderId="66" xfId="0" applyFont="1" applyBorder="1" applyAlignment="1" applyProtection="1">
      <alignment vertical="center"/>
    </xf>
    <xf numFmtId="0" fontId="47" fillId="0" borderId="29" xfId="0" applyFont="1" applyBorder="1" applyAlignment="1" applyProtection="1">
      <alignment vertical="center"/>
    </xf>
    <xf numFmtId="0" fontId="3" fillId="0" borderId="54" xfId="0" applyFont="1" applyBorder="1" applyAlignment="1">
      <alignment vertical="center" wrapText="1"/>
    </xf>
    <xf numFmtId="0" fontId="44" fillId="0" borderId="55" xfId="0" applyFont="1" applyBorder="1" applyAlignment="1">
      <alignment vertical="center"/>
    </xf>
    <xf numFmtId="0" fontId="44" fillId="0" borderId="33" xfId="0" applyFont="1" applyBorder="1" applyAlignment="1">
      <alignment vertical="center"/>
    </xf>
    <xf numFmtId="0" fontId="44" fillId="0" borderId="34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47" fillId="0" borderId="33" xfId="0" applyFont="1" applyBorder="1" applyAlignment="1">
      <alignment vertical="center"/>
    </xf>
    <xf numFmtId="0" fontId="47" fillId="0" borderId="34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3" fillId="0" borderId="70" xfId="0" applyFont="1" applyBorder="1" applyAlignment="1">
      <alignment vertical="center"/>
    </xf>
    <xf numFmtId="0" fontId="47" fillId="0" borderId="32" xfId="0" applyFont="1" applyBorder="1" applyAlignment="1">
      <alignment vertical="center"/>
    </xf>
    <xf numFmtId="0" fontId="47" fillId="0" borderId="18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47" fillId="0" borderId="42" xfId="0" applyFont="1" applyBorder="1" applyAlignment="1">
      <alignment vertical="center"/>
    </xf>
    <xf numFmtId="0" fontId="47" fillId="0" borderId="58" xfId="0" applyFont="1" applyBorder="1" applyAlignment="1">
      <alignment vertical="center"/>
    </xf>
    <xf numFmtId="0" fontId="3" fillId="0" borderId="51" xfId="0" applyFont="1" applyBorder="1" applyAlignment="1">
      <alignment vertical="center" wrapText="1"/>
    </xf>
    <xf numFmtId="0" fontId="3" fillId="0" borderId="69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3" fillId="0" borderId="51" xfId="0" applyFont="1" applyBorder="1" applyAlignment="1">
      <alignment horizontal="left" vertical="center"/>
    </xf>
    <xf numFmtId="0" fontId="47" fillId="3" borderId="1" xfId="0" applyFont="1" applyFill="1" applyBorder="1" applyAlignment="1">
      <alignment vertical="center"/>
    </xf>
    <xf numFmtId="0" fontId="47" fillId="0" borderId="62" xfId="0" applyFont="1" applyBorder="1" applyAlignment="1">
      <alignment vertical="center"/>
    </xf>
    <xf numFmtId="0" fontId="47" fillId="0" borderId="68" xfId="0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3" fillId="0" borderId="66" xfId="0" applyFont="1" applyBorder="1" applyAlignment="1">
      <alignment horizontal="center" vertical="center" wrapText="1"/>
    </xf>
    <xf numFmtId="0" fontId="3" fillId="0" borderId="69" xfId="0" applyFont="1" applyFill="1" applyBorder="1" applyAlignment="1">
      <alignment vertical="center" wrapText="1"/>
    </xf>
    <xf numFmtId="0" fontId="3" fillId="0" borderId="71" xfId="0" applyFont="1" applyBorder="1" applyAlignment="1">
      <alignment vertical="center"/>
    </xf>
    <xf numFmtId="0" fontId="3" fillId="0" borderId="33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3" borderId="1" xfId="0" applyFill="1" applyBorder="1" applyAlignment="1">
      <alignment vertical="center"/>
    </xf>
    <xf numFmtId="0" fontId="0" fillId="3" borderId="62" xfId="0" applyFill="1" applyBorder="1" applyAlignment="1">
      <alignment vertical="center"/>
    </xf>
    <xf numFmtId="0" fontId="0" fillId="3" borderId="68" xfId="0" applyFill="1" applyBorder="1" applyAlignment="1">
      <alignment vertical="center"/>
    </xf>
    <xf numFmtId="0" fontId="0" fillId="3" borderId="62" xfId="0" applyFill="1" applyBorder="1" applyAlignment="1">
      <alignment horizontal="center" vertical="center"/>
    </xf>
    <xf numFmtId="0" fontId="0" fillId="3" borderId="68" xfId="0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72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46" fillId="0" borderId="36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64" xfId="0" applyFont="1" applyFill="1" applyBorder="1" applyAlignment="1">
      <alignment vertical="center" wrapText="1"/>
    </xf>
    <xf numFmtId="0" fontId="0" fillId="0" borderId="49" xfId="0" applyFill="1" applyBorder="1" applyAlignment="1">
      <alignment vertical="center" wrapText="1"/>
    </xf>
    <xf numFmtId="0" fontId="0" fillId="0" borderId="65" xfId="0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55" xfId="0" applyBorder="1" applyAlignment="1">
      <alignment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23" fillId="0" borderId="69" xfId="0" applyFont="1" applyFill="1" applyBorder="1" applyAlignment="1" applyProtection="1">
      <alignment vertical="center" wrapText="1"/>
    </xf>
    <xf numFmtId="0" fontId="23" fillId="0" borderId="66" xfId="0" applyFont="1" applyFill="1" applyBorder="1" applyAlignment="1" applyProtection="1">
      <alignment vertical="center" wrapText="1"/>
    </xf>
    <xf numFmtId="0" fontId="23" fillId="0" borderId="29" xfId="0" applyFont="1" applyFill="1" applyBorder="1" applyAlignment="1" applyProtection="1">
      <alignment vertical="center" wrapText="1"/>
    </xf>
    <xf numFmtId="0" fontId="0" fillId="0" borderId="2" xfId="0" applyBorder="1" applyAlignment="1">
      <alignment vertical="center"/>
    </xf>
    <xf numFmtId="0" fontId="24" fillId="0" borderId="66" xfId="0" applyFont="1" applyFill="1" applyBorder="1" applyAlignment="1" applyProtection="1">
      <alignment vertical="center" wrapText="1"/>
    </xf>
    <xf numFmtId="0" fontId="24" fillId="0" borderId="29" xfId="0" applyFont="1" applyFill="1" applyBorder="1" applyAlignment="1" applyProtection="1">
      <alignment vertical="center" wrapText="1"/>
    </xf>
    <xf numFmtId="0" fontId="3" fillId="0" borderId="69" xfId="0" applyFont="1" applyFill="1" applyBorder="1" applyAlignment="1" applyProtection="1">
      <alignment vertical="center" wrapText="1"/>
    </xf>
    <xf numFmtId="0" fontId="0" fillId="0" borderId="66" xfId="0" applyFill="1" applyBorder="1" applyAlignment="1" applyProtection="1">
      <alignment vertical="center" wrapText="1"/>
    </xf>
    <xf numFmtId="0" fontId="0" fillId="0" borderId="29" xfId="0" applyFill="1" applyBorder="1" applyAlignment="1" applyProtection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46" fillId="0" borderId="1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8" fillId="0" borderId="69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2" fillId="0" borderId="69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31" fillId="0" borderId="69" xfId="0" applyFont="1" applyBorder="1" applyAlignment="1">
      <alignment horizontal="center" vertical="center"/>
    </xf>
    <xf numFmtId="0" fontId="33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0" xfId="1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10" fillId="0" borderId="73" xfId="1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10" fillId="0" borderId="73" xfId="1" applyFont="1" applyFill="1" applyBorder="1" applyAlignment="1">
      <alignment horizontal="center" vertical="center"/>
    </xf>
    <xf numFmtId="0" fontId="39" fillId="0" borderId="0" xfId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0" fontId="26" fillId="0" borderId="64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0" borderId="65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5" fillId="0" borderId="69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0" fontId="26" fillId="0" borderId="69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</cellXfs>
  <cellStyles count="2">
    <cellStyle name="Normal" xfId="0" builtinId="0"/>
    <cellStyle name="Normal_RIDL final team and music sheet" xfId="1"/>
  </cellStyles>
  <dxfs count="29"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b/>
        <i val="0"/>
        <condense val="0"/>
        <extend val="0"/>
        <color auto="1"/>
      </font>
      <fill>
        <patternFill>
          <bgColor indexed="51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b/>
        <i val="0"/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b/>
        <i val="0"/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b/>
        <i val="0"/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4"/>
      </font>
    </dxf>
    <dxf>
      <font>
        <condense val="0"/>
        <extend val="0"/>
        <color indexed="10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showRowColHeaders="0" zoomScale="70" zoomScaleNormal="70" workbookViewId="0">
      <selection activeCell="B36" sqref="B36"/>
    </sheetView>
  </sheetViews>
  <sheetFormatPr defaultColWidth="11.42578125" defaultRowHeight="15" x14ac:dyDescent="0.2"/>
  <cols>
    <col min="1" max="1" width="12.85546875" style="206" customWidth="1"/>
    <col min="2" max="2" width="28" style="206" bestFit="1" customWidth="1"/>
    <col min="3" max="3" width="15.7109375" style="209" bestFit="1" customWidth="1"/>
    <col min="4" max="6" width="5.7109375" style="206" customWidth="1"/>
    <col min="7" max="7" width="18.28515625" style="206" bestFit="1" customWidth="1"/>
    <col min="8" max="8" width="26" style="206" customWidth="1"/>
    <col min="9" max="9" width="15.42578125" style="206" customWidth="1"/>
    <col min="10" max="16384" width="11.42578125" style="206"/>
  </cols>
  <sheetData>
    <row r="1" spans="1:8" s="190" customFormat="1" ht="20.100000000000001" customHeight="1" x14ac:dyDescent="0.2">
      <c r="A1" s="301" t="s">
        <v>66</v>
      </c>
      <c r="B1" s="302"/>
      <c r="C1" s="302"/>
      <c r="D1" s="302"/>
      <c r="E1" s="302"/>
      <c r="F1" s="302"/>
      <c r="G1" s="302"/>
    </row>
    <row r="2" spans="1:8" s="190" customFormat="1" ht="20.100000000000001" customHeight="1" x14ac:dyDescent="0.2">
      <c r="A2" s="191"/>
      <c r="B2" s="96"/>
      <c r="C2" s="208"/>
      <c r="D2" s="96"/>
      <c r="E2" s="96"/>
      <c r="F2" s="96"/>
      <c r="G2" s="192"/>
    </row>
    <row r="3" spans="1:8" s="190" customFormat="1" ht="20.100000000000001" customHeight="1" x14ac:dyDescent="0.2">
      <c r="A3" s="191" t="s">
        <v>27</v>
      </c>
      <c r="B3" s="188" t="s">
        <v>123</v>
      </c>
      <c r="C3" s="204"/>
      <c r="D3" s="193"/>
      <c r="E3" s="193"/>
      <c r="F3" s="193"/>
      <c r="G3" s="96"/>
    </row>
    <row r="4" spans="1:8" s="190" customFormat="1" ht="20.100000000000001" customHeight="1" x14ac:dyDescent="0.2">
      <c r="A4" s="191" t="s">
        <v>28</v>
      </c>
      <c r="B4" s="194" t="s">
        <v>122</v>
      </c>
      <c r="C4" s="204"/>
      <c r="D4" s="193"/>
      <c r="E4" s="193"/>
      <c r="F4" s="193"/>
      <c r="G4" s="96"/>
    </row>
    <row r="5" spans="1:8" s="190" customFormat="1" ht="20.100000000000001" customHeight="1" x14ac:dyDescent="0.2">
      <c r="A5" s="191" t="s">
        <v>29</v>
      </c>
      <c r="B5" s="195" t="s">
        <v>124</v>
      </c>
      <c r="C5" s="204"/>
      <c r="D5" s="193"/>
      <c r="E5" s="193"/>
      <c r="F5" s="193"/>
      <c r="G5" s="96"/>
    </row>
    <row r="6" spans="1:8" s="190" customFormat="1" ht="20.100000000000001" customHeight="1" x14ac:dyDescent="0.2">
      <c r="A6" s="191"/>
      <c r="B6" s="96"/>
      <c r="C6" s="303" t="s">
        <v>30</v>
      </c>
      <c r="D6" s="304"/>
      <c r="E6" s="304"/>
      <c r="F6" s="304"/>
      <c r="G6" s="304"/>
    </row>
    <row r="7" spans="1:8" s="190" customFormat="1" ht="20.100000000000001" customHeight="1" x14ac:dyDescent="0.2">
      <c r="A7" s="196" t="s">
        <v>72</v>
      </c>
      <c r="B7" s="96"/>
      <c r="C7" s="208"/>
      <c r="D7" s="96"/>
      <c r="E7" s="189" t="s">
        <v>31</v>
      </c>
      <c r="F7" s="96"/>
      <c r="G7" s="189" t="s">
        <v>77</v>
      </c>
    </row>
    <row r="8" spans="1:8" s="190" customFormat="1" ht="20.100000000000001" customHeight="1" x14ac:dyDescent="0.2">
      <c r="A8" s="191"/>
      <c r="B8" s="197"/>
      <c r="C8" s="189" t="s">
        <v>32</v>
      </c>
      <c r="D8" s="198" t="s">
        <v>33</v>
      </c>
      <c r="E8" s="198" t="s">
        <v>34</v>
      </c>
      <c r="F8" s="198" t="s">
        <v>35</v>
      </c>
      <c r="G8" s="96"/>
    </row>
    <row r="9" spans="1:8" s="190" customFormat="1" ht="20.100000000000001" customHeight="1" x14ac:dyDescent="0.2">
      <c r="A9" s="191" t="s">
        <v>36</v>
      </c>
      <c r="B9" s="188" t="s">
        <v>125</v>
      </c>
      <c r="C9" s="199"/>
      <c r="D9" s="199"/>
      <c r="E9" s="199"/>
      <c r="F9" s="199"/>
      <c r="G9" s="188" t="s">
        <v>37</v>
      </c>
      <c r="H9" s="200" t="s">
        <v>42</v>
      </c>
    </row>
    <row r="10" spans="1:8" s="190" customFormat="1" ht="20.100000000000001" customHeight="1" x14ac:dyDescent="0.2">
      <c r="A10" s="191" t="s">
        <v>38</v>
      </c>
      <c r="B10" s="188" t="s">
        <v>126</v>
      </c>
      <c r="C10" s="199"/>
      <c r="D10" s="199"/>
      <c r="E10" s="199"/>
      <c r="F10" s="199"/>
      <c r="G10" s="188" t="s">
        <v>37</v>
      </c>
      <c r="H10" s="200" t="s">
        <v>37</v>
      </c>
    </row>
    <row r="11" spans="1:8" s="190" customFormat="1" ht="20.100000000000001" customHeight="1" x14ac:dyDescent="0.2">
      <c r="A11" s="96"/>
      <c r="B11" s="96"/>
      <c r="C11" s="208"/>
      <c r="D11" s="96"/>
      <c r="E11" s="96"/>
      <c r="F11" s="96"/>
      <c r="G11" s="96"/>
      <c r="H11" s="200" t="s">
        <v>75</v>
      </c>
    </row>
    <row r="12" spans="1:8" s="190" customFormat="1" ht="20.100000000000001" customHeight="1" x14ac:dyDescent="0.2">
      <c r="A12" s="96"/>
      <c r="B12" s="96"/>
      <c r="C12" s="208"/>
      <c r="D12" s="96"/>
      <c r="E12" s="96"/>
      <c r="F12" s="96"/>
      <c r="G12" s="96"/>
      <c r="H12" s="200" t="s">
        <v>39</v>
      </c>
    </row>
    <row r="13" spans="1:8" s="190" customFormat="1" ht="20.100000000000001" customHeight="1" x14ac:dyDescent="0.2">
      <c r="A13" s="201" t="s">
        <v>73</v>
      </c>
      <c r="B13" s="96"/>
      <c r="C13" s="208"/>
      <c r="D13" s="96"/>
      <c r="E13" s="189" t="s">
        <v>31</v>
      </c>
      <c r="F13" s="96"/>
      <c r="G13" s="189" t="s">
        <v>77</v>
      </c>
      <c r="H13" s="200" t="s">
        <v>76</v>
      </c>
    </row>
    <row r="14" spans="1:8" s="190" customFormat="1" ht="20.100000000000001" customHeight="1" x14ac:dyDescent="0.2">
      <c r="A14" s="191"/>
      <c r="B14" s="197"/>
      <c r="C14" s="189" t="s">
        <v>32</v>
      </c>
      <c r="D14" s="198" t="s">
        <v>33</v>
      </c>
      <c r="E14" s="198" t="s">
        <v>34</v>
      </c>
      <c r="F14" s="198" t="s">
        <v>35</v>
      </c>
      <c r="G14" s="96"/>
      <c r="H14" s="202"/>
    </row>
    <row r="15" spans="1:8" s="190" customFormat="1" ht="20.100000000000001" customHeight="1" x14ac:dyDescent="0.2">
      <c r="A15" s="191" t="s">
        <v>36</v>
      </c>
      <c r="B15" s="188" t="s">
        <v>127</v>
      </c>
      <c r="C15" s="199"/>
      <c r="D15" s="199"/>
      <c r="E15" s="199"/>
      <c r="F15" s="199"/>
      <c r="G15" s="188" t="s">
        <v>76</v>
      </c>
      <c r="H15" s="202"/>
    </row>
    <row r="16" spans="1:8" s="190" customFormat="1" ht="20.100000000000001" customHeight="1" x14ac:dyDescent="0.2">
      <c r="A16" s="191" t="s">
        <v>38</v>
      </c>
      <c r="B16" s="188" t="s">
        <v>128</v>
      </c>
      <c r="C16" s="199"/>
      <c r="D16" s="199"/>
      <c r="E16" s="199"/>
      <c r="F16" s="199"/>
      <c r="G16" s="188" t="s">
        <v>37</v>
      </c>
      <c r="H16" s="202"/>
    </row>
    <row r="17" spans="1:8" s="190" customFormat="1" ht="20.100000000000001" customHeight="1" x14ac:dyDescent="0.2">
      <c r="A17" s="96"/>
      <c r="B17" s="96"/>
      <c r="C17" s="208"/>
      <c r="D17" s="96"/>
      <c r="E17" s="96"/>
      <c r="F17" s="96"/>
      <c r="G17" s="96"/>
      <c r="H17" s="202"/>
    </row>
    <row r="18" spans="1:8" s="190" customFormat="1" ht="20.100000000000001" customHeight="1" x14ac:dyDescent="0.2">
      <c r="A18" s="96"/>
      <c r="B18" s="96"/>
      <c r="C18" s="208"/>
      <c r="D18" s="96"/>
      <c r="E18" s="96"/>
      <c r="F18" s="96"/>
      <c r="G18" s="96"/>
      <c r="H18" s="202"/>
    </row>
    <row r="19" spans="1:8" s="190" customFormat="1" ht="20.100000000000001" customHeight="1" x14ac:dyDescent="0.2">
      <c r="A19" s="203" t="s">
        <v>74</v>
      </c>
      <c r="B19" s="96"/>
      <c r="C19" s="208"/>
      <c r="D19" s="96"/>
      <c r="E19" s="189" t="s">
        <v>31</v>
      </c>
      <c r="F19" s="96"/>
      <c r="G19" s="189" t="s">
        <v>77</v>
      </c>
    </row>
    <row r="20" spans="1:8" s="190" customFormat="1" ht="20.100000000000001" customHeight="1" x14ac:dyDescent="0.2">
      <c r="A20" s="191"/>
      <c r="B20" s="197"/>
      <c r="C20" s="189" t="s">
        <v>32</v>
      </c>
      <c r="D20" s="198" t="s">
        <v>33</v>
      </c>
      <c r="E20" s="198" t="s">
        <v>34</v>
      </c>
      <c r="F20" s="198" t="s">
        <v>35</v>
      </c>
      <c r="G20" s="96"/>
    </row>
    <row r="21" spans="1:8" s="190" customFormat="1" ht="20.100000000000001" customHeight="1" x14ac:dyDescent="0.2">
      <c r="A21" s="191" t="s">
        <v>36</v>
      </c>
      <c r="B21" s="188" t="s">
        <v>130</v>
      </c>
      <c r="C21" s="199"/>
      <c r="D21" s="199"/>
      <c r="E21" s="199"/>
      <c r="F21" s="199"/>
      <c r="G21" s="188" t="s">
        <v>37</v>
      </c>
      <c r="H21" s="202"/>
    </row>
    <row r="22" spans="1:8" s="190" customFormat="1" ht="20.100000000000001" customHeight="1" x14ac:dyDescent="0.2">
      <c r="A22" s="191" t="s">
        <v>38</v>
      </c>
      <c r="B22" s="188" t="s">
        <v>129</v>
      </c>
      <c r="C22" s="188"/>
      <c r="D22" s="199"/>
      <c r="E22" s="199"/>
      <c r="F22" s="199"/>
      <c r="G22" s="188" t="s">
        <v>37</v>
      </c>
      <c r="H22" s="202"/>
    </row>
    <row r="23" spans="1:8" s="190" customFormat="1" ht="20.100000000000001" customHeight="1" x14ac:dyDescent="0.2">
      <c r="A23" s="96"/>
      <c r="B23" s="193"/>
      <c r="C23" s="204"/>
      <c r="D23" s="204"/>
      <c r="E23" s="204"/>
      <c r="F23" s="204"/>
      <c r="G23" s="193"/>
      <c r="H23" s="202"/>
    </row>
    <row r="24" spans="1:8" s="190" customFormat="1" ht="20.100000000000001" customHeight="1" x14ac:dyDescent="0.2">
      <c r="A24" s="96"/>
      <c r="B24" s="193"/>
      <c r="C24" s="204"/>
      <c r="D24" s="204"/>
      <c r="E24" s="204"/>
      <c r="F24" s="204"/>
      <c r="G24" s="96"/>
      <c r="H24" s="202"/>
    </row>
    <row r="25" spans="1:8" s="190" customFormat="1" ht="20.100000000000001" customHeight="1" x14ac:dyDescent="0.2">
      <c r="A25" s="189" t="s">
        <v>40</v>
      </c>
      <c r="B25" s="191" t="s">
        <v>41</v>
      </c>
      <c r="C25" s="189" t="s">
        <v>97</v>
      </c>
      <c r="D25" s="204"/>
      <c r="E25" s="204"/>
      <c r="F25" s="204"/>
      <c r="G25" s="96"/>
    </row>
    <row r="26" spans="1:8" ht="20.100000000000001" customHeight="1" x14ac:dyDescent="0.2">
      <c r="A26" s="266" t="s">
        <v>4</v>
      </c>
      <c r="B26" s="249" t="s">
        <v>99</v>
      </c>
      <c r="C26" s="300" t="s">
        <v>117</v>
      </c>
      <c r="D26" s="205" t="s">
        <v>43</v>
      </c>
      <c r="E26" s="205" t="s">
        <v>43</v>
      </c>
      <c r="F26" s="205" t="s">
        <v>43</v>
      </c>
      <c r="G26" s="205"/>
    </row>
    <row r="27" spans="1:8" ht="20.100000000000001" customHeight="1" x14ac:dyDescent="0.2">
      <c r="A27" s="266" t="s">
        <v>2</v>
      </c>
      <c r="B27" s="188" t="s">
        <v>101</v>
      </c>
      <c r="C27" s="300" t="s">
        <v>118</v>
      </c>
      <c r="D27" s="205" t="s">
        <v>43</v>
      </c>
      <c r="E27" s="205" t="s">
        <v>43</v>
      </c>
      <c r="F27" s="205" t="s">
        <v>43</v>
      </c>
      <c r="G27" s="205"/>
    </row>
    <row r="28" spans="1:8" ht="20.100000000000001" customHeight="1" x14ac:dyDescent="0.2">
      <c r="A28" s="266" t="s">
        <v>1</v>
      </c>
      <c r="B28" s="188" t="s">
        <v>98</v>
      </c>
      <c r="C28" s="300" t="s">
        <v>119</v>
      </c>
      <c r="D28" s="205" t="s">
        <v>43</v>
      </c>
      <c r="E28" s="205" t="s">
        <v>43</v>
      </c>
      <c r="F28" s="205" t="s">
        <v>43</v>
      </c>
      <c r="G28" s="205"/>
    </row>
    <row r="29" spans="1:8" ht="20.100000000000001" customHeight="1" x14ac:dyDescent="0.2">
      <c r="A29" s="266" t="s">
        <v>3</v>
      </c>
      <c r="B29" s="188" t="s">
        <v>100</v>
      </c>
      <c r="C29" s="300" t="s">
        <v>120</v>
      </c>
      <c r="D29" s="205" t="s">
        <v>43</v>
      </c>
      <c r="E29" s="205" t="s">
        <v>43</v>
      </c>
      <c r="F29" s="205" t="s">
        <v>43</v>
      </c>
      <c r="G29" s="205"/>
    </row>
    <row r="30" spans="1:8" ht="15.75" x14ac:dyDescent="0.2">
      <c r="C30" s="207"/>
    </row>
    <row r="31" spans="1:8" ht="18" x14ac:dyDescent="0.2">
      <c r="A31" s="189" t="s">
        <v>104</v>
      </c>
      <c r="B31" s="249"/>
    </row>
    <row r="32" spans="1:8" ht="18" x14ac:dyDescent="0.2">
      <c r="A32" s="189" t="s">
        <v>105</v>
      </c>
      <c r="B32" s="205"/>
    </row>
    <row r="33" spans="1:2" ht="18" x14ac:dyDescent="0.2">
      <c r="A33" s="250">
        <v>1</v>
      </c>
      <c r="B33" s="249" t="s">
        <v>215</v>
      </c>
    </row>
    <row r="34" spans="1:2" ht="18" x14ac:dyDescent="0.2">
      <c r="A34" s="250">
        <v>2</v>
      </c>
      <c r="B34" s="249" t="s">
        <v>216</v>
      </c>
    </row>
    <row r="35" spans="1:2" ht="18" x14ac:dyDescent="0.2">
      <c r="A35" s="250">
        <v>3</v>
      </c>
      <c r="B35" s="249" t="s">
        <v>217</v>
      </c>
    </row>
    <row r="36" spans="1:2" ht="18" x14ac:dyDescent="0.2">
      <c r="A36" s="250">
        <v>4</v>
      </c>
      <c r="B36" s="249" t="s">
        <v>106</v>
      </c>
    </row>
    <row r="37" spans="1:2" ht="18" x14ac:dyDescent="0.2">
      <c r="A37" s="250">
        <v>5</v>
      </c>
      <c r="B37" s="249" t="s">
        <v>106</v>
      </c>
    </row>
  </sheetData>
  <sheetProtection password="CAEF" sheet="1" objects="1" scenarios="1" selectLockedCells="1"/>
  <mergeCells count="2">
    <mergeCell ref="A1:G1"/>
    <mergeCell ref="C6:G6"/>
  </mergeCells>
  <phoneticPr fontId="8" type="noConversion"/>
  <dataValidations count="1">
    <dataValidation type="list" allowBlank="1" showInputMessage="1" showErrorMessage="1" sqref="G9:G10 G21:G22 G15:G16">
      <formula1>$H$9:$H$13</formula1>
    </dataValidation>
  </dataValidations>
  <printOptions horizontalCentered="1" gridLinesSet="0"/>
  <pageMargins left="0.74803149606299213" right="0.74803149606299213" top="0.98425196850393704" bottom="0.98425196850393704" header="0.51181102362204722" footer="0.51181102362204722"/>
  <pageSetup paperSize="9" orientation="portrait" horizontalDpi="4800" verticalDpi="4294967292" r:id="rId1"/>
  <headerFooter alignWithMargins="0">
    <oddHeader>&amp;C&amp;"Arial,Bold"&amp;22RIDL National Final</oddHeader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88"/>
  <sheetViews>
    <sheetView showGridLines="0" showRowColHeaders="0" zoomScale="90" zoomScaleNormal="90" workbookViewId="0">
      <selection activeCell="B28" sqref="A28:F34"/>
    </sheetView>
  </sheetViews>
  <sheetFormatPr defaultColWidth="11.42578125" defaultRowHeight="15" x14ac:dyDescent="0.2"/>
  <cols>
    <col min="1" max="1" width="13.7109375" style="74" customWidth="1"/>
    <col min="2" max="2" width="16.42578125" style="74" customWidth="1"/>
    <col min="3" max="3" width="31" style="74" customWidth="1"/>
    <col min="4" max="4" width="12" style="74" bestFit="1" customWidth="1"/>
    <col min="5" max="16384" width="11.42578125" style="74"/>
  </cols>
  <sheetData>
    <row r="1" spans="1:7" s="73" customFormat="1" ht="20.100000000000001" customHeight="1" x14ac:dyDescent="0.2">
      <c r="A1" s="432" t="s">
        <v>72</v>
      </c>
      <c r="B1" s="433"/>
      <c r="C1" s="433"/>
      <c r="D1" s="433"/>
      <c r="E1" s="433"/>
      <c r="F1" s="433"/>
    </row>
    <row r="2" spans="1:7" s="73" customFormat="1" ht="20.100000000000001" customHeight="1" x14ac:dyDescent="0.2"/>
    <row r="3" spans="1:7" s="73" customFormat="1" ht="20.100000000000001" customHeight="1" x14ac:dyDescent="0.2">
      <c r="A3" s="75" t="s">
        <v>27</v>
      </c>
      <c r="B3" s="77" t="str">
        <f>Master!$B$3</f>
        <v>Solihull</v>
      </c>
      <c r="C3" s="77"/>
      <c r="D3" s="76" t="s">
        <v>1</v>
      </c>
      <c r="E3" s="256" t="str">
        <f>VLOOKUP(D3,Master!A26:B29,2,FALSE)</f>
        <v>South East</v>
      </c>
      <c r="F3" s="257"/>
      <c r="G3" s="74"/>
    </row>
    <row r="4" spans="1:7" s="73" customFormat="1" ht="20.100000000000001" customHeight="1" x14ac:dyDescent="0.2">
      <c r="A4" s="75" t="s">
        <v>28</v>
      </c>
      <c r="B4" s="77" t="str">
        <f>Master!$B$4</f>
        <v>10th September 2016</v>
      </c>
      <c r="C4" s="77"/>
      <c r="D4" s="76" t="s">
        <v>2</v>
      </c>
      <c r="E4" s="256" t="str">
        <f>VLOOKUP(D4,Master!A26:B29,2,FALSE)</f>
        <v>South Central</v>
      </c>
      <c r="F4" s="258"/>
      <c r="G4" s="74"/>
    </row>
    <row r="5" spans="1:7" s="73" customFormat="1" ht="20.100000000000001" customHeight="1" x14ac:dyDescent="0.2">
      <c r="A5" s="75"/>
      <c r="B5" s="77"/>
      <c r="C5" s="77"/>
      <c r="D5" s="76" t="s">
        <v>3</v>
      </c>
      <c r="E5" s="256" t="str">
        <f>VLOOKUP(D5,Master!A26:B29,2,FALSE)</f>
        <v>South West</v>
      </c>
      <c r="F5" s="258"/>
      <c r="G5" s="74"/>
    </row>
    <row r="6" spans="1:7" s="73" customFormat="1" ht="20.100000000000001" customHeight="1" x14ac:dyDescent="0.2">
      <c r="A6" s="75"/>
      <c r="B6" s="76"/>
      <c r="D6" s="76" t="s">
        <v>4</v>
      </c>
      <c r="E6" s="256" t="str">
        <f>VLOOKUP(D6,Master!A26:B29,2,FALSE)</f>
        <v>North</v>
      </c>
      <c r="F6" s="257"/>
    </row>
    <row r="7" spans="1:7" s="73" customFormat="1" ht="20.100000000000001" customHeight="1" thickBot="1" x14ac:dyDescent="0.25">
      <c r="A7" s="72"/>
      <c r="B7" s="2"/>
    </row>
    <row r="8" spans="1:7" s="73" customFormat="1" ht="20.100000000000001" customHeight="1" thickBot="1" x14ac:dyDescent="0.25">
      <c r="A8" s="72" t="s">
        <v>36</v>
      </c>
      <c r="B8" s="210" t="str">
        <f>Master!$B$9</f>
        <v>Golden Skaters Waltz</v>
      </c>
      <c r="C8" s="211"/>
      <c r="D8" s="211" t="str">
        <f>Master!$G$9</f>
        <v>2 Sequences</v>
      </c>
      <c r="E8" s="212"/>
    </row>
    <row r="9" spans="1:7" s="73" customFormat="1" ht="20.100000000000001" customHeight="1" thickBot="1" x14ac:dyDescent="0.25"/>
    <row r="10" spans="1:7" s="73" customFormat="1" ht="20.100000000000001" customHeight="1" thickBot="1" x14ac:dyDescent="0.25">
      <c r="A10" s="1" t="s">
        <v>71</v>
      </c>
      <c r="B10" s="1" t="s">
        <v>70</v>
      </c>
      <c r="C10" s="1" t="s">
        <v>57</v>
      </c>
      <c r="D10" s="1" t="s">
        <v>32</v>
      </c>
      <c r="E10" s="1" t="s">
        <v>58</v>
      </c>
      <c r="F10" s="1" t="s">
        <v>59</v>
      </c>
    </row>
    <row r="11" spans="1:7" s="73" customFormat="1" ht="20.100000000000001" customHeight="1" x14ac:dyDescent="0.2">
      <c r="A11" s="78">
        <v>1</v>
      </c>
      <c r="B11" s="79" t="s">
        <v>60</v>
      </c>
      <c r="C11" s="436" t="str">
        <f>Master!$B$9</f>
        <v>Golden Skaters Waltz</v>
      </c>
      <c r="D11" s="436" t="str">
        <f>IF(Master!$C$9="","",Master!$C$9)</f>
        <v/>
      </c>
      <c r="E11" s="79" t="str">
        <f>IF(Master!$D$9="","",Master!$D$9)</f>
        <v/>
      </c>
      <c r="F11" s="80"/>
    </row>
    <row r="12" spans="1:7" s="73" customFormat="1" ht="20.100000000000001" customHeight="1" x14ac:dyDescent="0.2">
      <c r="A12" s="81">
        <v>2</v>
      </c>
      <c r="B12" s="82" t="s">
        <v>63</v>
      </c>
      <c r="C12" s="437"/>
      <c r="D12" s="437"/>
      <c r="E12" s="82" t="str">
        <f>IF(Master!$E$9="","",Master!$E$9)</f>
        <v/>
      </c>
      <c r="F12" s="83"/>
    </row>
    <row r="13" spans="1:7" s="73" customFormat="1" ht="20.100000000000001" customHeight="1" x14ac:dyDescent="0.2">
      <c r="A13" s="81">
        <v>3</v>
      </c>
      <c r="B13" s="82" t="s">
        <v>62</v>
      </c>
      <c r="C13" s="437"/>
      <c r="D13" s="437"/>
      <c r="E13" s="82" t="str">
        <f>IF(Master!$F$9="","",Master!$F$9)</f>
        <v/>
      </c>
      <c r="F13" s="83"/>
    </row>
    <row r="14" spans="1:7" s="73" customFormat="1" ht="20.100000000000001" customHeight="1" x14ac:dyDescent="0.2">
      <c r="A14" s="81">
        <v>4</v>
      </c>
      <c r="B14" s="82" t="s">
        <v>61</v>
      </c>
      <c r="C14" s="437"/>
      <c r="D14" s="437"/>
      <c r="E14" s="82" t="str">
        <f>IF(Master!$D$9="","",Master!$D$9)</f>
        <v/>
      </c>
      <c r="F14" s="83"/>
    </row>
    <row r="15" spans="1:7" s="73" customFormat="1" ht="20.100000000000001" customHeight="1" x14ac:dyDescent="0.2">
      <c r="A15" s="81">
        <v>5</v>
      </c>
      <c r="B15" s="82" t="s">
        <v>64</v>
      </c>
      <c r="C15" s="437"/>
      <c r="D15" s="437"/>
      <c r="E15" s="82" t="str">
        <f>IF(Master!$E$9="","",Master!$E$9)</f>
        <v/>
      </c>
      <c r="F15" s="83"/>
    </row>
    <row r="16" spans="1:7" s="73" customFormat="1" ht="20.100000000000001" customHeight="1" thickBot="1" x14ac:dyDescent="0.25">
      <c r="A16" s="84">
        <v>6</v>
      </c>
      <c r="B16" s="85" t="s">
        <v>65</v>
      </c>
      <c r="C16" s="438"/>
      <c r="D16" s="438"/>
      <c r="E16" s="85" t="str">
        <f>IF(Master!$F$9="","",Master!$F$9)</f>
        <v/>
      </c>
      <c r="F16" s="86"/>
    </row>
    <row r="17" spans="1:6" s="73" customFormat="1" ht="20.100000000000001" customHeight="1" x14ac:dyDescent="0.2"/>
    <row r="18" spans="1:6" s="73" customFormat="1" ht="20.100000000000001" customHeight="1" thickBot="1" x14ac:dyDescent="0.25">
      <c r="A18" s="76"/>
      <c r="B18" s="76"/>
      <c r="C18" s="76"/>
      <c r="D18" s="76"/>
      <c r="E18" s="76"/>
      <c r="F18" s="77"/>
    </row>
    <row r="19" spans="1:6" s="73" customFormat="1" ht="20.100000000000001" customHeight="1" thickBot="1" x14ac:dyDescent="0.25">
      <c r="A19" s="72" t="s">
        <v>38</v>
      </c>
      <c r="B19" s="210" t="str">
        <f>Master!$B$10</f>
        <v>Riverside Rhumba</v>
      </c>
      <c r="C19" s="211"/>
      <c r="D19" s="211" t="str">
        <f>Master!$G$10</f>
        <v>2 Sequences</v>
      </c>
      <c r="E19" s="212"/>
    </row>
    <row r="20" spans="1:6" s="73" customFormat="1" ht="20.100000000000001" customHeight="1" thickBot="1" x14ac:dyDescent="0.25"/>
    <row r="21" spans="1:6" s="73" customFormat="1" ht="20.100000000000001" customHeight="1" thickBot="1" x14ac:dyDescent="0.25">
      <c r="A21" s="1" t="s">
        <v>71</v>
      </c>
      <c r="B21" s="1" t="s">
        <v>70</v>
      </c>
      <c r="C21" s="1" t="s">
        <v>57</v>
      </c>
      <c r="D21" s="1" t="s">
        <v>32</v>
      </c>
      <c r="E21" s="1" t="s">
        <v>58</v>
      </c>
      <c r="F21" s="1" t="s">
        <v>59</v>
      </c>
    </row>
    <row r="22" spans="1:6" s="73" customFormat="1" ht="20.100000000000001" customHeight="1" x14ac:dyDescent="0.2">
      <c r="A22" s="87">
        <v>7</v>
      </c>
      <c r="B22" s="79" t="s">
        <v>60</v>
      </c>
      <c r="C22" s="439" t="str">
        <f>Master!$B$10</f>
        <v>Riverside Rhumba</v>
      </c>
      <c r="D22" s="436" t="str">
        <f>IF(Master!$C$10="","",Master!$C$10)</f>
        <v/>
      </c>
      <c r="E22" s="93" t="str">
        <f>IF(Master!$D$10="","",Master!$D$10)</f>
        <v/>
      </c>
      <c r="F22" s="88"/>
    </row>
    <row r="23" spans="1:6" s="73" customFormat="1" ht="20.100000000000001" customHeight="1" x14ac:dyDescent="0.2">
      <c r="A23" s="89">
        <v>8</v>
      </c>
      <c r="B23" s="82" t="s">
        <v>63</v>
      </c>
      <c r="C23" s="437"/>
      <c r="D23" s="437"/>
      <c r="E23" s="94" t="str">
        <f>IF(Master!$E$10="","",Master!$E$10)</f>
        <v/>
      </c>
      <c r="F23" s="90"/>
    </row>
    <row r="24" spans="1:6" s="73" customFormat="1" ht="20.100000000000001" customHeight="1" x14ac:dyDescent="0.2">
      <c r="A24" s="89">
        <v>9</v>
      </c>
      <c r="B24" s="82" t="s">
        <v>62</v>
      </c>
      <c r="C24" s="437"/>
      <c r="D24" s="437"/>
      <c r="E24" s="94" t="str">
        <f>IF(Master!$F$10="","",Master!$F$10)</f>
        <v/>
      </c>
      <c r="F24" s="90"/>
    </row>
    <row r="25" spans="1:6" s="73" customFormat="1" ht="20.100000000000001" customHeight="1" x14ac:dyDescent="0.2">
      <c r="A25" s="89">
        <v>10</v>
      </c>
      <c r="B25" s="82" t="s">
        <v>61</v>
      </c>
      <c r="C25" s="437"/>
      <c r="D25" s="437"/>
      <c r="E25" s="94" t="str">
        <f>IF(Master!$D$10="","",Master!$D$10)</f>
        <v/>
      </c>
      <c r="F25" s="90"/>
    </row>
    <row r="26" spans="1:6" s="73" customFormat="1" ht="20.100000000000001" customHeight="1" x14ac:dyDescent="0.2">
      <c r="A26" s="89">
        <v>11</v>
      </c>
      <c r="B26" s="82" t="s">
        <v>64</v>
      </c>
      <c r="C26" s="437"/>
      <c r="D26" s="437"/>
      <c r="E26" s="94" t="str">
        <f>IF(Master!$E$10="","",Master!$E$10)</f>
        <v/>
      </c>
      <c r="F26" s="90"/>
    </row>
    <row r="27" spans="1:6" s="73" customFormat="1" ht="20.100000000000001" customHeight="1" thickBot="1" x14ac:dyDescent="0.25">
      <c r="A27" s="91">
        <v>12</v>
      </c>
      <c r="B27" s="85" t="s">
        <v>65</v>
      </c>
      <c r="C27" s="438"/>
      <c r="D27" s="438"/>
      <c r="E27" s="95" t="str">
        <f>IF(Master!$F$10="","",Master!$F$10)</f>
        <v/>
      </c>
      <c r="F27" s="92"/>
    </row>
    <row r="28" spans="1:6" s="73" customFormat="1" ht="20.100000000000001" customHeight="1" x14ac:dyDescent="0.2">
      <c r="A28" s="76"/>
      <c r="B28" s="76"/>
      <c r="C28" s="76"/>
      <c r="D28" s="76"/>
      <c r="E28" s="76"/>
      <c r="F28" s="77"/>
    </row>
    <row r="29" spans="1:6" s="73" customFormat="1" ht="20.100000000000001" customHeight="1" x14ac:dyDescent="0.2">
      <c r="C29" s="76"/>
      <c r="D29" s="76"/>
      <c r="E29" s="76"/>
      <c r="F29" s="77"/>
    </row>
    <row r="30" spans="1:6" s="73" customFormat="1" ht="20.100000000000001" customHeight="1" x14ac:dyDescent="0.2">
      <c r="C30" s="76"/>
      <c r="D30" s="76"/>
      <c r="E30" s="76"/>
      <c r="F30" s="77"/>
    </row>
    <row r="31" spans="1:6" s="73" customFormat="1" ht="20.100000000000001" customHeight="1" x14ac:dyDescent="0.2">
      <c r="C31" s="76"/>
      <c r="D31" s="76"/>
      <c r="E31" s="76"/>
      <c r="F31" s="77"/>
    </row>
    <row r="32" spans="1:6" s="73" customFormat="1" ht="20.100000000000001" customHeight="1" x14ac:dyDescent="0.2">
      <c r="C32" s="76"/>
      <c r="D32" s="76"/>
      <c r="E32" s="76"/>
      <c r="F32" s="77"/>
    </row>
    <row r="33" spans="1:7" s="73" customFormat="1" ht="20.100000000000001" customHeight="1" x14ac:dyDescent="0.2">
      <c r="A33" s="434" t="s">
        <v>73</v>
      </c>
      <c r="B33" s="435"/>
      <c r="C33" s="435"/>
      <c r="D33" s="435"/>
      <c r="E33" s="435"/>
      <c r="F33" s="435"/>
    </row>
    <row r="34" spans="1:7" s="73" customFormat="1" ht="20.100000000000001" customHeight="1" x14ac:dyDescent="0.2"/>
    <row r="35" spans="1:7" s="73" customFormat="1" ht="20.100000000000001" customHeight="1" x14ac:dyDescent="0.2">
      <c r="A35" s="75" t="s">
        <v>27</v>
      </c>
      <c r="B35" s="77" t="str">
        <f>Master!$B$3</f>
        <v>Solihull</v>
      </c>
      <c r="C35" s="77"/>
      <c r="D35" s="76" t="s">
        <v>1</v>
      </c>
      <c r="E35" s="256" t="str">
        <f>VLOOKUP(D35,Master!A26:B29,2,FALSE)</f>
        <v>South East</v>
      </c>
      <c r="F35" s="257"/>
      <c r="G35" s="74"/>
    </row>
    <row r="36" spans="1:7" s="73" customFormat="1" ht="20.100000000000001" customHeight="1" x14ac:dyDescent="0.2">
      <c r="A36" s="75" t="s">
        <v>28</v>
      </c>
      <c r="B36" s="77" t="str">
        <f>Master!$B$4</f>
        <v>10th September 2016</v>
      </c>
      <c r="C36" s="77"/>
      <c r="D36" s="76" t="s">
        <v>2</v>
      </c>
      <c r="E36" s="256" t="str">
        <f>VLOOKUP(D36,Master!A26:B29,2,FALSE)</f>
        <v>South Central</v>
      </c>
      <c r="F36" s="258"/>
      <c r="G36" s="74"/>
    </row>
    <row r="37" spans="1:7" s="73" customFormat="1" ht="20.100000000000001" customHeight="1" x14ac:dyDescent="0.2">
      <c r="A37" s="75"/>
      <c r="B37" s="77"/>
      <c r="C37" s="77"/>
      <c r="D37" s="76" t="s">
        <v>3</v>
      </c>
      <c r="E37" s="256" t="str">
        <f>VLOOKUP(D37,Master!A26:B29,2,FALSE)</f>
        <v>South West</v>
      </c>
      <c r="F37" s="258"/>
      <c r="G37" s="74"/>
    </row>
    <row r="38" spans="1:7" s="73" customFormat="1" ht="20.100000000000001" customHeight="1" x14ac:dyDescent="0.2">
      <c r="A38" s="75"/>
      <c r="B38" s="76"/>
      <c r="D38" s="76" t="s">
        <v>4</v>
      </c>
      <c r="E38" s="256" t="str">
        <f>VLOOKUP(D38,Master!A26:B29,2,FALSE)</f>
        <v>North</v>
      </c>
      <c r="F38" s="257"/>
    </row>
    <row r="39" spans="1:7" s="73" customFormat="1" ht="20.100000000000001" customHeight="1" thickBot="1" x14ac:dyDescent="0.25">
      <c r="A39" s="72"/>
      <c r="B39" s="2"/>
    </row>
    <row r="40" spans="1:7" s="73" customFormat="1" ht="20.100000000000001" customHeight="1" thickBot="1" x14ac:dyDescent="0.25">
      <c r="A40" s="72" t="s">
        <v>36</v>
      </c>
      <c r="B40" s="213" t="str">
        <f>Master!$B$15</f>
        <v>Prelim Waltz</v>
      </c>
      <c r="C40" s="214"/>
      <c r="D40" s="214" t="str">
        <f>Master!$G$15</f>
        <v>2 Circuits</v>
      </c>
      <c r="E40" s="215"/>
    </row>
    <row r="41" spans="1:7" s="73" customFormat="1" ht="20.100000000000001" customHeight="1" thickBot="1" x14ac:dyDescent="0.25"/>
    <row r="42" spans="1:7" s="73" customFormat="1" ht="20.100000000000001" customHeight="1" thickBot="1" x14ac:dyDescent="0.25">
      <c r="A42" s="1" t="s">
        <v>71</v>
      </c>
      <c r="B42" s="1" t="s">
        <v>70</v>
      </c>
      <c r="C42" s="1" t="s">
        <v>57</v>
      </c>
      <c r="D42" s="1" t="s">
        <v>32</v>
      </c>
      <c r="E42" s="1" t="s">
        <v>58</v>
      </c>
      <c r="F42" s="1" t="s">
        <v>59</v>
      </c>
    </row>
    <row r="43" spans="1:7" s="73" customFormat="1" ht="20.100000000000001" customHeight="1" x14ac:dyDescent="0.2">
      <c r="A43" s="78">
        <v>1</v>
      </c>
      <c r="B43" s="79" t="s">
        <v>60</v>
      </c>
      <c r="C43" s="436" t="str">
        <f>Master!$B$15</f>
        <v>Prelim Waltz</v>
      </c>
      <c r="D43" s="436" t="str">
        <f>IF(Master!$C$15="","",Master!$C$15)</f>
        <v/>
      </c>
      <c r="E43" s="79" t="str">
        <f>IF(Master!$D$15="","",Master!$D$15)</f>
        <v/>
      </c>
      <c r="F43" s="80"/>
    </row>
    <row r="44" spans="1:7" s="73" customFormat="1" ht="20.100000000000001" customHeight="1" x14ac:dyDescent="0.2">
      <c r="A44" s="81">
        <v>2</v>
      </c>
      <c r="B44" s="82" t="s">
        <v>63</v>
      </c>
      <c r="C44" s="437"/>
      <c r="D44" s="437"/>
      <c r="E44" s="82" t="str">
        <f>IF(Master!$E$15="","",Master!$E$15)</f>
        <v/>
      </c>
      <c r="F44" s="83"/>
    </row>
    <row r="45" spans="1:7" s="73" customFormat="1" ht="20.100000000000001" customHeight="1" x14ac:dyDescent="0.2">
      <c r="A45" s="81">
        <v>3</v>
      </c>
      <c r="B45" s="82" t="s">
        <v>62</v>
      </c>
      <c r="C45" s="437"/>
      <c r="D45" s="437"/>
      <c r="E45" s="82" t="str">
        <f>IF(Master!$F$15="","",Master!$F$15)</f>
        <v/>
      </c>
      <c r="F45" s="83"/>
    </row>
    <row r="46" spans="1:7" s="73" customFormat="1" ht="20.100000000000001" customHeight="1" x14ac:dyDescent="0.2">
      <c r="A46" s="81">
        <v>4</v>
      </c>
      <c r="B46" s="82" t="s">
        <v>61</v>
      </c>
      <c r="C46" s="437"/>
      <c r="D46" s="437"/>
      <c r="E46" s="82" t="str">
        <f>IF(Master!$D$15="","",Master!$D$15)</f>
        <v/>
      </c>
      <c r="F46" s="83"/>
    </row>
    <row r="47" spans="1:7" s="73" customFormat="1" ht="20.100000000000001" customHeight="1" x14ac:dyDescent="0.2">
      <c r="A47" s="81">
        <v>5</v>
      </c>
      <c r="B47" s="82" t="s">
        <v>64</v>
      </c>
      <c r="C47" s="437"/>
      <c r="D47" s="437"/>
      <c r="E47" s="82" t="str">
        <f>IF(Master!$E$15="","",Master!$E$15)</f>
        <v/>
      </c>
      <c r="F47" s="83"/>
    </row>
    <row r="48" spans="1:7" s="73" customFormat="1" ht="20.100000000000001" customHeight="1" thickBot="1" x14ac:dyDescent="0.25">
      <c r="A48" s="84">
        <v>6</v>
      </c>
      <c r="B48" s="85" t="s">
        <v>65</v>
      </c>
      <c r="C48" s="438"/>
      <c r="D48" s="438"/>
      <c r="E48" s="85" t="str">
        <f>IF(Master!$F$15="","",Master!$F$15)</f>
        <v/>
      </c>
      <c r="F48" s="86"/>
    </row>
    <row r="49" spans="1:7" s="73" customFormat="1" ht="20.100000000000001" customHeight="1" x14ac:dyDescent="0.2"/>
    <row r="50" spans="1:7" s="73" customFormat="1" ht="20.100000000000001" customHeight="1" thickBot="1" x14ac:dyDescent="0.25">
      <c r="A50" s="76"/>
      <c r="B50" s="76"/>
      <c r="C50" s="76"/>
      <c r="D50" s="76"/>
      <c r="E50" s="76"/>
      <c r="F50" s="77"/>
    </row>
    <row r="51" spans="1:7" s="73" customFormat="1" ht="20.100000000000001" customHeight="1" thickBot="1" x14ac:dyDescent="0.25">
      <c r="A51" s="72" t="s">
        <v>38</v>
      </c>
      <c r="B51" s="213" t="str">
        <f>Master!$B$16</f>
        <v>14 Step</v>
      </c>
      <c r="C51" s="214"/>
      <c r="D51" s="214" t="str">
        <f>Master!$G$16</f>
        <v>2 Sequences</v>
      </c>
      <c r="E51" s="215"/>
    </row>
    <row r="52" spans="1:7" s="73" customFormat="1" ht="20.100000000000001" customHeight="1" thickBot="1" x14ac:dyDescent="0.25"/>
    <row r="53" spans="1:7" s="73" customFormat="1" ht="20.100000000000001" customHeight="1" thickBot="1" x14ac:dyDescent="0.25">
      <c r="A53" s="1" t="s">
        <v>71</v>
      </c>
      <c r="B53" s="1" t="s">
        <v>70</v>
      </c>
      <c r="C53" s="1" t="s">
        <v>57</v>
      </c>
      <c r="D53" s="1" t="s">
        <v>32</v>
      </c>
      <c r="E53" s="1" t="s">
        <v>58</v>
      </c>
      <c r="F53" s="1" t="s">
        <v>59</v>
      </c>
    </row>
    <row r="54" spans="1:7" s="73" customFormat="1" ht="20.100000000000001" customHeight="1" x14ac:dyDescent="0.2">
      <c r="A54" s="87">
        <v>7</v>
      </c>
      <c r="B54" s="79" t="s">
        <v>60</v>
      </c>
      <c r="C54" s="439" t="str">
        <f>Master!$B$16</f>
        <v>14 Step</v>
      </c>
      <c r="D54" s="436" t="str">
        <f>IF(Master!$C$16="","",Master!$C$16)</f>
        <v/>
      </c>
      <c r="E54" s="93" t="str">
        <f>IF(Master!$D$16="","",Master!$D$16)</f>
        <v/>
      </c>
      <c r="F54" s="88"/>
    </row>
    <row r="55" spans="1:7" s="73" customFormat="1" ht="20.100000000000001" customHeight="1" x14ac:dyDescent="0.2">
      <c r="A55" s="89">
        <v>8</v>
      </c>
      <c r="B55" s="82" t="s">
        <v>63</v>
      </c>
      <c r="C55" s="437"/>
      <c r="D55" s="437"/>
      <c r="E55" s="94" t="str">
        <f>IF(Master!$E$16="","",Master!$E$16)</f>
        <v/>
      </c>
      <c r="F55" s="90"/>
    </row>
    <row r="56" spans="1:7" s="73" customFormat="1" ht="20.100000000000001" customHeight="1" x14ac:dyDescent="0.2">
      <c r="A56" s="89">
        <v>9</v>
      </c>
      <c r="B56" s="82" t="s">
        <v>62</v>
      </c>
      <c r="C56" s="437"/>
      <c r="D56" s="437"/>
      <c r="E56" s="94" t="str">
        <f>IF(Master!$F$16="","",Master!$F$16)</f>
        <v/>
      </c>
      <c r="F56" s="90"/>
    </row>
    <row r="57" spans="1:7" s="73" customFormat="1" ht="20.100000000000001" customHeight="1" x14ac:dyDescent="0.2">
      <c r="A57" s="89">
        <v>10</v>
      </c>
      <c r="B57" s="82" t="s">
        <v>61</v>
      </c>
      <c r="C57" s="437"/>
      <c r="D57" s="437"/>
      <c r="E57" s="94" t="str">
        <f>IF(Master!$D$16="","",Master!$D$16)</f>
        <v/>
      </c>
      <c r="F57" s="90"/>
    </row>
    <row r="58" spans="1:7" s="73" customFormat="1" ht="20.100000000000001" customHeight="1" x14ac:dyDescent="0.2">
      <c r="A58" s="89">
        <v>11</v>
      </c>
      <c r="B58" s="82" t="s">
        <v>64</v>
      </c>
      <c r="C58" s="437"/>
      <c r="D58" s="437"/>
      <c r="E58" s="94" t="str">
        <f>IF(Master!$E$16="","",Master!$E$16)</f>
        <v/>
      </c>
      <c r="F58" s="90"/>
    </row>
    <row r="59" spans="1:7" s="73" customFormat="1" ht="20.100000000000001" customHeight="1" thickBot="1" x14ac:dyDescent="0.25">
      <c r="A59" s="91">
        <v>12</v>
      </c>
      <c r="B59" s="85" t="s">
        <v>65</v>
      </c>
      <c r="C59" s="438"/>
      <c r="D59" s="438"/>
      <c r="E59" s="95" t="str">
        <f>IF(Master!$F$16="","",Master!$F$16)</f>
        <v/>
      </c>
      <c r="F59" s="92"/>
    </row>
    <row r="60" spans="1:7" s="73" customFormat="1" ht="20.100000000000001" customHeight="1" x14ac:dyDescent="0.2">
      <c r="A60" s="76"/>
      <c r="B60" s="76"/>
      <c r="C60" s="76"/>
      <c r="D60" s="76"/>
      <c r="E60" s="76"/>
      <c r="F60" s="77"/>
    </row>
    <row r="61" spans="1:7" s="73" customFormat="1" ht="20.100000000000001" customHeight="1" x14ac:dyDescent="0.2">
      <c r="A61" s="76"/>
      <c r="B61" s="76"/>
      <c r="C61" s="76"/>
      <c r="D61" s="76"/>
      <c r="E61" s="76"/>
      <c r="F61" s="77"/>
    </row>
    <row r="62" spans="1:7" s="73" customFormat="1" ht="20.100000000000001" customHeight="1" x14ac:dyDescent="0.2">
      <c r="A62" s="440" t="s">
        <v>74</v>
      </c>
      <c r="B62" s="441"/>
      <c r="C62" s="441"/>
      <c r="D62" s="441"/>
      <c r="E62" s="441"/>
      <c r="F62" s="441"/>
    </row>
    <row r="63" spans="1:7" s="73" customFormat="1" ht="20.100000000000001" customHeight="1" x14ac:dyDescent="0.2"/>
    <row r="64" spans="1:7" s="73" customFormat="1" ht="20.100000000000001" customHeight="1" x14ac:dyDescent="0.2">
      <c r="A64" s="75" t="s">
        <v>27</v>
      </c>
      <c r="B64" s="77" t="str">
        <f>Master!$B$3</f>
        <v>Solihull</v>
      </c>
      <c r="C64" s="77"/>
      <c r="D64" s="76" t="s">
        <v>1</v>
      </c>
      <c r="E64" s="256" t="str">
        <f>VLOOKUP(D64,Master!A26:B29,2,FALSE)</f>
        <v>South East</v>
      </c>
      <c r="F64" s="257"/>
      <c r="G64" s="74"/>
    </row>
    <row r="65" spans="1:7" s="73" customFormat="1" ht="20.100000000000001" customHeight="1" x14ac:dyDescent="0.2">
      <c r="A65" s="75" t="s">
        <v>28</v>
      </c>
      <c r="B65" s="77" t="str">
        <f>Master!$B$4</f>
        <v>10th September 2016</v>
      </c>
      <c r="C65" s="77"/>
      <c r="D65" s="76" t="s">
        <v>2</v>
      </c>
      <c r="E65" s="256" t="str">
        <f>VLOOKUP(D65,Master!A26:B29,2,FALSE)</f>
        <v>South Central</v>
      </c>
      <c r="F65" s="258"/>
      <c r="G65" s="74"/>
    </row>
    <row r="66" spans="1:7" s="73" customFormat="1" ht="20.100000000000001" customHeight="1" x14ac:dyDescent="0.2">
      <c r="A66" s="75"/>
      <c r="B66" s="77"/>
      <c r="C66" s="77"/>
      <c r="D66" s="76" t="s">
        <v>3</v>
      </c>
      <c r="E66" s="256" t="str">
        <f>VLOOKUP(D66,Master!A26:B29,2,FALSE)</f>
        <v>South West</v>
      </c>
      <c r="F66" s="258"/>
      <c r="G66" s="74"/>
    </row>
    <row r="67" spans="1:7" s="73" customFormat="1" ht="20.100000000000001" customHeight="1" x14ac:dyDescent="0.2">
      <c r="A67" s="75"/>
      <c r="B67" s="76"/>
      <c r="D67" s="76" t="s">
        <v>4</v>
      </c>
      <c r="E67" s="256" t="str">
        <f>VLOOKUP(D67,Master!A26:B29,2,FALSE)</f>
        <v>North</v>
      </c>
      <c r="F67" s="257"/>
    </row>
    <row r="68" spans="1:7" s="73" customFormat="1" ht="20.100000000000001" customHeight="1" thickBot="1" x14ac:dyDescent="0.25">
      <c r="A68" s="72"/>
      <c r="B68" s="2"/>
    </row>
    <row r="69" spans="1:7" s="73" customFormat="1" ht="20.100000000000001" customHeight="1" thickBot="1" x14ac:dyDescent="0.25">
      <c r="A69" s="72" t="s">
        <v>36</v>
      </c>
      <c r="B69" s="216" t="str">
        <f>Master!$B$21</f>
        <v>Blues</v>
      </c>
      <c r="C69" s="217"/>
      <c r="D69" s="217" t="str">
        <f>Master!$G$21</f>
        <v>2 Sequences</v>
      </c>
      <c r="E69" s="218"/>
    </row>
    <row r="70" spans="1:7" s="73" customFormat="1" ht="20.100000000000001" customHeight="1" thickBot="1" x14ac:dyDescent="0.25"/>
    <row r="71" spans="1:7" s="73" customFormat="1" ht="20.100000000000001" customHeight="1" thickBot="1" x14ac:dyDescent="0.25">
      <c r="A71" s="1" t="s">
        <v>71</v>
      </c>
      <c r="B71" s="1" t="s">
        <v>70</v>
      </c>
      <c r="C71" s="1" t="s">
        <v>57</v>
      </c>
      <c r="D71" s="1" t="s">
        <v>32</v>
      </c>
      <c r="E71" s="1" t="s">
        <v>58</v>
      </c>
      <c r="F71" s="1" t="s">
        <v>59</v>
      </c>
    </row>
    <row r="72" spans="1:7" s="73" customFormat="1" ht="20.100000000000001" customHeight="1" x14ac:dyDescent="0.2">
      <c r="A72" s="78">
        <v>1</v>
      </c>
      <c r="B72" s="79" t="s">
        <v>60</v>
      </c>
      <c r="C72" s="436" t="str">
        <f>Master!$B$21</f>
        <v>Blues</v>
      </c>
      <c r="D72" s="436" t="str">
        <f>IF(Master!$C$21="","",Master!$C$21)</f>
        <v/>
      </c>
      <c r="E72" s="79" t="str">
        <f>IF(Master!$D$21="","",Master!$D$21)</f>
        <v/>
      </c>
      <c r="F72" s="80"/>
    </row>
    <row r="73" spans="1:7" s="73" customFormat="1" ht="20.100000000000001" customHeight="1" x14ac:dyDescent="0.2">
      <c r="A73" s="81">
        <v>2</v>
      </c>
      <c r="B73" s="82" t="s">
        <v>63</v>
      </c>
      <c r="C73" s="437"/>
      <c r="D73" s="437"/>
      <c r="E73" s="82" t="str">
        <f>IF(Master!$E$21="","",Master!$E$21)</f>
        <v/>
      </c>
      <c r="F73" s="83"/>
    </row>
    <row r="74" spans="1:7" s="73" customFormat="1" ht="20.100000000000001" customHeight="1" x14ac:dyDescent="0.2">
      <c r="A74" s="81">
        <v>3</v>
      </c>
      <c r="B74" s="82" t="s">
        <v>62</v>
      </c>
      <c r="C74" s="437"/>
      <c r="D74" s="437"/>
      <c r="E74" s="82" t="str">
        <f>IF(Master!$F$21="","",Master!$F$21)</f>
        <v/>
      </c>
      <c r="F74" s="83"/>
    </row>
    <row r="75" spans="1:7" s="73" customFormat="1" ht="20.100000000000001" customHeight="1" x14ac:dyDescent="0.2">
      <c r="A75" s="81">
        <v>4</v>
      </c>
      <c r="B75" s="82" t="s">
        <v>61</v>
      </c>
      <c r="C75" s="437"/>
      <c r="D75" s="437"/>
      <c r="E75" s="82" t="str">
        <f>IF(Master!$D$21="","",Master!$D$21)</f>
        <v/>
      </c>
      <c r="F75" s="83"/>
    </row>
    <row r="76" spans="1:7" s="73" customFormat="1" ht="20.100000000000001" customHeight="1" x14ac:dyDescent="0.2">
      <c r="A76" s="81">
        <v>5</v>
      </c>
      <c r="B76" s="82" t="s">
        <v>64</v>
      </c>
      <c r="C76" s="437"/>
      <c r="D76" s="437"/>
      <c r="E76" s="82" t="str">
        <f>IF(Master!$E$21="","",Master!$E$21)</f>
        <v/>
      </c>
      <c r="F76" s="83"/>
    </row>
    <row r="77" spans="1:7" s="73" customFormat="1" ht="20.100000000000001" customHeight="1" thickBot="1" x14ac:dyDescent="0.25">
      <c r="A77" s="84">
        <v>6</v>
      </c>
      <c r="B77" s="85" t="s">
        <v>65</v>
      </c>
      <c r="C77" s="438"/>
      <c r="D77" s="438"/>
      <c r="E77" s="85" t="str">
        <f>IF(Master!$F$21="","",Master!$F$21)</f>
        <v/>
      </c>
      <c r="F77" s="86"/>
    </row>
    <row r="78" spans="1:7" s="73" customFormat="1" ht="20.100000000000001" customHeight="1" x14ac:dyDescent="0.2"/>
    <row r="79" spans="1:7" s="73" customFormat="1" ht="20.100000000000001" customHeight="1" thickBot="1" x14ac:dyDescent="0.25">
      <c r="A79" s="76"/>
      <c r="B79" s="76"/>
      <c r="C79" s="76"/>
      <c r="D79" s="76"/>
      <c r="E79" s="76"/>
      <c r="F79" s="77"/>
    </row>
    <row r="80" spans="1:7" s="73" customFormat="1" ht="20.100000000000001" customHeight="1" thickBot="1" x14ac:dyDescent="0.25">
      <c r="A80" s="72" t="s">
        <v>38</v>
      </c>
      <c r="B80" s="216" t="str">
        <f>Master!$B$22</f>
        <v>Starlight Waltz</v>
      </c>
      <c r="C80" s="217"/>
      <c r="D80" s="217" t="str">
        <f>Master!$G$22</f>
        <v>2 Sequences</v>
      </c>
      <c r="E80" s="218"/>
    </row>
    <row r="81" spans="1:6" s="73" customFormat="1" ht="20.100000000000001" customHeight="1" thickBot="1" x14ac:dyDescent="0.25"/>
    <row r="82" spans="1:6" s="73" customFormat="1" ht="20.100000000000001" customHeight="1" thickBot="1" x14ac:dyDescent="0.25">
      <c r="A82" s="1" t="s">
        <v>71</v>
      </c>
      <c r="B82" s="1" t="s">
        <v>70</v>
      </c>
      <c r="C82" s="1" t="s">
        <v>57</v>
      </c>
      <c r="D82" s="1" t="s">
        <v>32</v>
      </c>
      <c r="E82" s="1" t="s">
        <v>58</v>
      </c>
      <c r="F82" s="1" t="s">
        <v>59</v>
      </c>
    </row>
    <row r="83" spans="1:6" s="73" customFormat="1" ht="20.100000000000001" customHeight="1" x14ac:dyDescent="0.2">
      <c r="A83" s="87">
        <v>7</v>
      </c>
      <c r="B83" s="79" t="s">
        <v>60</v>
      </c>
      <c r="C83" s="439" t="str">
        <f>Master!$B$22</f>
        <v>Starlight Waltz</v>
      </c>
      <c r="D83" s="436" t="str">
        <f>IF(Master!$C$22="","",Master!$C$22)</f>
        <v/>
      </c>
      <c r="E83" s="93" t="str">
        <f>IF(Master!$D$22="","",Master!$D$22)</f>
        <v/>
      </c>
      <c r="F83" s="88"/>
    </row>
    <row r="84" spans="1:6" s="73" customFormat="1" ht="20.100000000000001" customHeight="1" x14ac:dyDescent="0.2">
      <c r="A84" s="89">
        <v>8</v>
      </c>
      <c r="B84" s="82" t="s">
        <v>63</v>
      </c>
      <c r="C84" s="437"/>
      <c r="D84" s="437"/>
      <c r="E84" s="94" t="str">
        <f>IF(Master!$E$22="","",Master!$E$22)</f>
        <v/>
      </c>
      <c r="F84" s="90"/>
    </row>
    <row r="85" spans="1:6" s="73" customFormat="1" ht="20.100000000000001" customHeight="1" x14ac:dyDescent="0.2">
      <c r="A85" s="89">
        <v>9</v>
      </c>
      <c r="B85" s="82" t="s">
        <v>62</v>
      </c>
      <c r="C85" s="437"/>
      <c r="D85" s="437"/>
      <c r="E85" s="94" t="str">
        <f>IF(Master!$F$22="","",Master!$F$22)</f>
        <v/>
      </c>
      <c r="F85" s="90"/>
    </row>
    <row r="86" spans="1:6" s="73" customFormat="1" ht="20.100000000000001" customHeight="1" x14ac:dyDescent="0.2">
      <c r="A86" s="89">
        <v>10</v>
      </c>
      <c r="B86" s="82" t="s">
        <v>61</v>
      </c>
      <c r="C86" s="437"/>
      <c r="D86" s="437"/>
      <c r="E86" s="94" t="str">
        <f>IF(Master!$D$22="","",Master!$D$22)</f>
        <v/>
      </c>
      <c r="F86" s="90"/>
    </row>
    <row r="87" spans="1:6" s="73" customFormat="1" ht="20.100000000000001" customHeight="1" x14ac:dyDescent="0.2">
      <c r="A87" s="89">
        <v>11</v>
      </c>
      <c r="B87" s="82" t="s">
        <v>64</v>
      </c>
      <c r="C87" s="437"/>
      <c r="D87" s="437"/>
      <c r="E87" s="94" t="str">
        <f>IF(Master!$E$22="","",Master!$E$22)</f>
        <v/>
      </c>
      <c r="F87" s="90"/>
    </row>
    <row r="88" spans="1:6" s="73" customFormat="1" ht="20.100000000000001" customHeight="1" thickBot="1" x14ac:dyDescent="0.25">
      <c r="A88" s="91">
        <v>12</v>
      </c>
      <c r="B88" s="85" t="s">
        <v>65</v>
      </c>
      <c r="C88" s="438"/>
      <c r="D88" s="438"/>
      <c r="E88" s="95" t="str">
        <f>IF(Master!$F$22="","",Master!$F$22)</f>
        <v/>
      </c>
      <c r="F88" s="92"/>
    </row>
  </sheetData>
  <sheetProtection password="CAEF" sheet="1" objects="1" scenarios="1"/>
  <mergeCells count="15">
    <mergeCell ref="C83:C88"/>
    <mergeCell ref="D83:D88"/>
    <mergeCell ref="C54:C59"/>
    <mergeCell ref="D54:D59"/>
    <mergeCell ref="A62:F62"/>
    <mergeCell ref="C72:C77"/>
    <mergeCell ref="D72:D77"/>
    <mergeCell ref="A1:F1"/>
    <mergeCell ref="A33:F33"/>
    <mergeCell ref="C43:C48"/>
    <mergeCell ref="D43:D48"/>
    <mergeCell ref="D11:D16"/>
    <mergeCell ref="D22:D27"/>
    <mergeCell ref="C11:C16"/>
    <mergeCell ref="C22:C27"/>
  </mergeCells>
  <phoneticPr fontId="8" type="noConversion"/>
  <printOptions horizontalCentered="1"/>
  <pageMargins left="0.19685039370078741" right="0.19685039370078741" top="1.5748031496062993" bottom="0.11811023622047245" header="0.78740157480314965" footer="0.11811023622047245"/>
  <pageSetup paperSize="9" orientation="portrait" verticalDpi="4294967292" r:id="rId1"/>
  <headerFooter alignWithMargins="0">
    <oddHeader>&amp;C&amp;"Tahoma,Regular"&amp;36RIDL Music Control</oddHeader>
    <oddFooter>&amp;C&amp;"Maiandra GD,Regular"Page &amp;P</oddFooter>
  </headerFooter>
  <rowBreaks count="2" manualBreakCount="2">
    <brk id="32" max="16383" man="1"/>
    <brk id="6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52"/>
  <sheetViews>
    <sheetView zoomScale="75" workbookViewId="0">
      <selection activeCell="A39" sqref="A39"/>
    </sheetView>
  </sheetViews>
  <sheetFormatPr defaultColWidth="8.85546875" defaultRowHeight="24.95" customHeight="1" x14ac:dyDescent="0.2"/>
  <cols>
    <col min="1" max="1" width="15.140625" style="268" customWidth="1"/>
    <col min="2" max="2" width="23.42578125" style="268" customWidth="1"/>
    <col min="3" max="3" width="10.42578125" style="269" customWidth="1"/>
    <col min="4" max="9" width="10.7109375" style="268" customWidth="1"/>
    <col min="10" max="16384" width="8.85546875" style="268"/>
  </cols>
  <sheetData>
    <row r="1" spans="1:9" ht="24.95" customHeight="1" x14ac:dyDescent="0.2">
      <c r="A1" s="267" t="s">
        <v>88</v>
      </c>
    </row>
    <row r="2" spans="1:9" ht="24.95" customHeight="1" thickBot="1" x14ac:dyDescent="0.25">
      <c r="A2" s="267"/>
    </row>
    <row r="3" spans="1:9" ht="24.95" customHeight="1" thickBot="1" x14ac:dyDescent="0.25">
      <c r="A3" s="267"/>
      <c r="D3" s="457" t="s">
        <v>94</v>
      </c>
      <c r="E3" s="458"/>
      <c r="F3" s="458"/>
      <c r="G3" s="458"/>
      <c r="H3" s="459"/>
      <c r="I3" s="270"/>
    </row>
    <row r="4" spans="1:9" ht="24.95" customHeight="1" thickBot="1" x14ac:dyDescent="0.25">
      <c r="A4" s="271"/>
      <c r="D4" s="460" t="str">
        <f>Master!$B$9</f>
        <v>Golden Skaters Waltz</v>
      </c>
      <c r="E4" s="426"/>
      <c r="F4" s="454" t="str">
        <f>Master!$B$10</f>
        <v>Riverside Rhumba</v>
      </c>
      <c r="G4" s="471"/>
      <c r="H4" s="472"/>
      <c r="I4" s="272" t="s">
        <v>80</v>
      </c>
    </row>
    <row r="5" spans="1:9" ht="24.95" customHeight="1" thickBot="1" x14ac:dyDescent="0.25">
      <c r="A5" s="273"/>
      <c r="B5" s="274" t="s">
        <v>93</v>
      </c>
      <c r="C5" s="289" t="s">
        <v>40</v>
      </c>
      <c r="D5" s="296" t="s">
        <v>113</v>
      </c>
      <c r="E5" s="297" t="s">
        <v>114</v>
      </c>
      <c r="F5" s="296" t="s">
        <v>112</v>
      </c>
      <c r="G5" s="294" t="s">
        <v>113</v>
      </c>
      <c r="H5" s="297" t="s">
        <v>114</v>
      </c>
      <c r="I5" s="298" t="s">
        <v>24</v>
      </c>
    </row>
    <row r="6" spans="1:9" ht="24.95" customHeight="1" x14ac:dyDescent="0.2">
      <c r="A6" s="275" t="s">
        <v>89</v>
      </c>
      <c r="B6" s="276" t="str">
        <f>IF(Master!B26="","",Master!B26)</f>
        <v>North</v>
      </c>
      <c r="C6" s="287" t="str">
        <f>IF(Master!A26="","",Master!A26)</f>
        <v>D</v>
      </c>
      <c r="D6" s="292" t="str">
        <f>IF(N!L$10 = 1, 25, IF(N!L$10 = 2, 50,""))</f>
        <v/>
      </c>
      <c r="E6" s="295" t="str">
        <f>IF(N!L$11 = 1, 25, IF(N!L$11 = 2, 50,""))</f>
        <v/>
      </c>
      <c r="F6" s="292" t="str">
        <f>IF(N!L$14 = 1, 25, IF(N!L$14 = 2, 50,""))</f>
        <v/>
      </c>
      <c r="G6" s="293" t="str">
        <f>IF(N!L$15 = 1, 25, IF(N!L$15 = 2, 50,""))</f>
        <v/>
      </c>
      <c r="H6" s="295" t="str">
        <f>IF(N!L$16 = 1, 25, IF(N!L$16 = 2, 50,""))</f>
        <v/>
      </c>
      <c r="I6" s="299">
        <f>12-N!L17</f>
        <v>12</v>
      </c>
    </row>
    <row r="7" spans="1:9" ht="24.95" customHeight="1" x14ac:dyDescent="0.2">
      <c r="A7" s="275" t="s">
        <v>90</v>
      </c>
      <c r="B7" s="276" t="str">
        <f>IF(Master!B27="","",Master!B27)</f>
        <v>South Central</v>
      </c>
      <c r="C7" s="287" t="str">
        <f>IF(Master!A27="","",Master!A27)</f>
        <v>B</v>
      </c>
      <c r="D7" s="277" t="str">
        <f>IF(SC!L$10 = 1, 25, IF(SC!L$10 = 2, 50,""))</f>
        <v/>
      </c>
      <c r="E7" s="279">
        <f>IF(SC!L$11 = 1, 25, IF(SC!L$11 = 2, 50,""))</f>
        <v>25</v>
      </c>
      <c r="F7" s="277" t="str">
        <f>IF(SC!L$14 = 1, 25, IF(SC!L$14 = 2, 50,""))</f>
        <v/>
      </c>
      <c r="G7" s="278" t="str">
        <f>IF(SC!L$15 = 1, 25, IF(SC!L$15 = 2, 50,""))</f>
        <v/>
      </c>
      <c r="H7" s="279">
        <f>IF(SC!L$16 = 1, 25, IF(SC!L$16 = 2, 50,""))</f>
        <v>25</v>
      </c>
      <c r="I7" s="280">
        <f>12-SC!L17</f>
        <v>10</v>
      </c>
    </row>
    <row r="8" spans="1:9" ht="24.95" customHeight="1" x14ac:dyDescent="0.2">
      <c r="A8" s="275" t="s">
        <v>91</v>
      </c>
      <c r="B8" s="276" t="str">
        <f>IF(Master!B28="","",Master!B28)</f>
        <v>South East</v>
      </c>
      <c r="C8" s="287" t="str">
        <f>IF(Master!A28="","",Master!A28)</f>
        <v>A</v>
      </c>
      <c r="D8" s="277" t="str">
        <f>IF(SE!L$10 = 1, 25, IF(SE!L$10 = 2, 50,""))</f>
        <v/>
      </c>
      <c r="E8" s="279" t="str">
        <f>IF(SE!L$11 = 1, 25, IF(SE!L$11 = 2, 50,""))</f>
        <v/>
      </c>
      <c r="F8" s="277">
        <f>IF(SE!L$14 = 1, 25, IF(SE!L$14 = 2, 50,""))</f>
        <v>25</v>
      </c>
      <c r="G8" s="278" t="str">
        <f>IF(SE!L$15 = 1, 25, IF(SE!L$15 = 2, 50,""))</f>
        <v/>
      </c>
      <c r="H8" s="279" t="str">
        <f>IF(SE!L$16 = 1, 25, IF(SE!L$16 = 2, 50,""))</f>
        <v/>
      </c>
      <c r="I8" s="280">
        <f>12-SE!L17</f>
        <v>11</v>
      </c>
    </row>
    <row r="9" spans="1:9" ht="24.95" customHeight="1" thickBot="1" x14ac:dyDescent="0.25">
      <c r="A9" s="281" t="s">
        <v>92</v>
      </c>
      <c r="B9" s="282" t="str">
        <f>IF(Master!B29="","",Master!B29)</f>
        <v>South West</v>
      </c>
      <c r="C9" s="288" t="str">
        <f>IF(Master!A29="","",Master!A29)</f>
        <v>C</v>
      </c>
      <c r="D9" s="283" t="str">
        <f>IF(SW!L$10 = 1, 25, IF(SW!L$10 = 2, 50,""))</f>
        <v/>
      </c>
      <c r="E9" s="285" t="str">
        <f>IF(SW!L$11 = 1, 25, IF(SW!L$11 = 2, 50,""))</f>
        <v/>
      </c>
      <c r="F9" s="283" t="str">
        <f>IF(SW!L$14 = 1, 25, IF(SW!L$14 = 2, 50,""))</f>
        <v/>
      </c>
      <c r="G9" s="284" t="str">
        <f>IF(SW!L$15 = 1, 25, IF(SW!L$15 = 2, 50,""))</f>
        <v/>
      </c>
      <c r="H9" s="285" t="str">
        <f>IF(SW!L$16 = 1, 25, IF(SW!L$16 = 2, 50,""))</f>
        <v/>
      </c>
      <c r="I9" s="286">
        <f>12-SW!L17</f>
        <v>12</v>
      </c>
    </row>
    <row r="10" spans="1:9" ht="24.95" customHeight="1" thickBot="1" x14ac:dyDescent="0.25"/>
    <row r="11" spans="1:9" ht="24.95" customHeight="1" thickBot="1" x14ac:dyDescent="0.25">
      <c r="A11" s="267"/>
      <c r="D11" s="461" t="s">
        <v>95</v>
      </c>
      <c r="E11" s="458"/>
      <c r="F11" s="458"/>
      <c r="G11" s="458"/>
      <c r="H11" s="459"/>
      <c r="I11" s="270"/>
    </row>
    <row r="12" spans="1:9" ht="24.95" customHeight="1" thickBot="1" x14ac:dyDescent="0.25">
      <c r="A12" s="271"/>
      <c r="D12" s="462" t="str">
        <f>Master!$B$15</f>
        <v>Prelim Waltz</v>
      </c>
      <c r="E12" s="426"/>
      <c r="F12" s="445" t="str">
        <f>Master!$B$16</f>
        <v>14 Step</v>
      </c>
      <c r="G12" s="469"/>
      <c r="H12" s="470"/>
      <c r="I12" s="272" t="s">
        <v>80</v>
      </c>
    </row>
    <row r="13" spans="1:9" ht="24.95" customHeight="1" thickBot="1" x14ac:dyDescent="0.25">
      <c r="A13" s="273"/>
      <c r="B13" s="274" t="s">
        <v>93</v>
      </c>
      <c r="C13" s="289" t="s">
        <v>40</v>
      </c>
      <c r="D13" s="296" t="s">
        <v>113</v>
      </c>
      <c r="E13" s="297" t="s">
        <v>114</v>
      </c>
      <c r="F13" s="296" t="s">
        <v>112</v>
      </c>
      <c r="G13" s="294" t="s">
        <v>113</v>
      </c>
      <c r="H13" s="297" t="s">
        <v>114</v>
      </c>
      <c r="I13" s="298" t="s">
        <v>24</v>
      </c>
    </row>
    <row r="14" spans="1:9" ht="24.95" customHeight="1" x14ac:dyDescent="0.2">
      <c r="A14" s="275" t="s">
        <v>89</v>
      </c>
      <c r="B14" s="276" t="str">
        <f>IF(Master!B26="","",Master!B26)</f>
        <v>North</v>
      </c>
      <c r="C14" s="287" t="str">
        <f>IF(Master!A26="","",Master!A26)</f>
        <v>D</v>
      </c>
      <c r="D14" s="277" t="str">
        <f>IF(N!L$21 = 1, 25, IF(N!L$21 = 2, 50,""))</f>
        <v/>
      </c>
      <c r="E14" s="279" t="str">
        <f>IF(N!L$22 = 1, 25, IF(N!L$22 = 2, 50,""))</f>
        <v/>
      </c>
      <c r="F14" s="277" t="str">
        <f>IF(N!L$25 = 1, 25, IF(N!L$25 = 2, 50,""))</f>
        <v/>
      </c>
      <c r="G14" s="278" t="str">
        <f>IF(N!L$26 = 1, 25, IF(N!L$26 = 2, 50,""))</f>
        <v/>
      </c>
      <c r="H14" s="279" t="str">
        <f>IF(N!L$27 = 1, 25, IF(N!L$27 = 2, 50,""))</f>
        <v/>
      </c>
      <c r="I14" s="280">
        <f>12-N!L28</f>
        <v>12</v>
      </c>
    </row>
    <row r="15" spans="1:9" ht="24.95" customHeight="1" x14ac:dyDescent="0.2">
      <c r="A15" s="275" t="s">
        <v>90</v>
      </c>
      <c r="B15" s="276" t="str">
        <f>IF(Master!B27="","",Master!B27)</f>
        <v>South Central</v>
      </c>
      <c r="C15" s="287" t="str">
        <f>IF(Master!A27="","",Master!A27)</f>
        <v>B</v>
      </c>
      <c r="D15" s="277" t="str">
        <f>IF(SC!L$21 = 1, 25, IF(SC!L$21 = 2, 50,""))</f>
        <v/>
      </c>
      <c r="E15" s="279" t="str">
        <f>IF(SC!L$22 = 1, 25, IF(SC!L$22 = 2, 50,""))</f>
        <v/>
      </c>
      <c r="F15" s="277" t="str">
        <f>IF(SC!L$25 = 1, 25, IF(SC!L$25 = 2, 50,""))</f>
        <v/>
      </c>
      <c r="G15" s="278">
        <f>IF(SC!L$26 = 1, 25, IF(SC!L$26 = 2, 50,""))</f>
        <v>25</v>
      </c>
      <c r="H15" s="279">
        <f>IF(SC!L$27 = 1, 25, IF(SC!L$27 = 2, 50,""))</f>
        <v>25</v>
      </c>
      <c r="I15" s="280">
        <f>12-SC!L28</f>
        <v>10</v>
      </c>
    </row>
    <row r="16" spans="1:9" ht="24.95" customHeight="1" x14ac:dyDescent="0.2">
      <c r="A16" s="275" t="s">
        <v>91</v>
      </c>
      <c r="B16" s="276" t="str">
        <f>IF(Master!B28="","",Master!B28)</f>
        <v>South East</v>
      </c>
      <c r="C16" s="287" t="str">
        <f>IF(Master!A28="","",Master!A28)</f>
        <v>A</v>
      </c>
      <c r="D16" s="277" t="str">
        <f>IF(SE!L$21 = 1, 25, IF(SE!L$21 = 2, 50,""))</f>
        <v/>
      </c>
      <c r="E16" s="279" t="str">
        <f>IF(SE!L$22 = 1, 25, IF(SE!L$22 = 2, 50,""))</f>
        <v/>
      </c>
      <c r="F16" s="277" t="str">
        <f>IF(SE!L$25 = 1, 25, IF(SE!L$25 = 2, 50,""))</f>
        <v/>
      </c>
      <c r="G16" s="278" t="str">
        <f>IF(SE!L$26 = 1, 25, IF(SE!L$26 = 2, 50,""))</f>
        <v/>
      </c>
      <c r="H16" s="279">
        <f>IF(SE!L$27 = 1, 25, IF(SE!L$27 = 2, 50,""))</f>
        <v>25</v>
      </c>
      <c r="I16" s="280">
        <f>12-SE!L28</f>
        <v>11</v>
      </c>
    </row>
    <row r="17" spans="1:9" ht="24.95" customHeight="1" thickBot="1" x14ac:dyDescent="0.25">
      <c r="A17" s="281" t="s">
        <v>92</v>
      </c>
      <c r="B17" s="282" t="str">
        <f>IF(Master!B29="","",Master!B29)</f>
        <v>South West</v>
      </c>
      <c r="C17" s="288" t="str">
        <f>IF(Master!A29="","",Master!A29)</f>
        <v>C</v>
      </c>
      <c r="D17" s="283" t="str">
        <f>IF(SW!L$21 = 1, 25, IF(SW!L$21 = 2, 50,""))</f>
        <v/>
      </c>
      <c r="E17" s="285" t="str">
        <f>IF(SW!L$22 = 1, 25, IF(SW!L$22 = 2, 50,""))</f>
        <v/>
      </c>
      <c r="F17" s="283">
        <f>IF(SW!L$25 = 1, 25, IF(SW!L$25 = 2, 50,""))</f>
        <v>25</v>
      </c>
      <c r="G17" s="284" t="str">
        <f>IF(SW!L$26 = 1, 25, IF(SW!L$26 = 2, 50,""))</f>
        <v/>
      </c>
      <c r="H17" s="285" t="str">
        <f>IF(SW!L$27 = 1, 25, IF(SW!L$27 = 2, 50,""))</f>
        <v/>
      </c>
      <c r="I17" s="286">
        <f>12-SW!L28</f>
        <v>11</v>
      </c>
    </row>
    <row r="18" spans="1:9" ht="24.95" customHeight="1" thickBot="1" x14ac:dyDescent="0.25"/>
    <row r="19" spans="1:9" ht="24.95" customHeight="1" thickBot="1" x14ac:dyDescent="0.25">
      <c r="A19" s="267"/>
      <c r="D19" s="473" t="s">
        <v>96</v>
      </c>
      <c r="E19" s="458"/>
      <c r="F19" s="458"/>
      <c r="G19" s="458"/>
      <c r="H19" s="459"/>
      <c r="I19" s="270"/>
    </row>
    <row r="20" spans="1:9" ht="24.95" customHeight="1" thickBot="1" x14ac:dyDescent="0.25">
      <c r="A20" s="271"/>
      <c r="D20" s="466" t="str">
        <f>Master!$B$21</f>
        <v>Blues</v>
      </c>
      <c r="E20" s="426"/>
      <c r="F20" s="442" t="str">
        <f>Master!$B$22</f>
        <v>Starlight Waltz</v>
      </c>
      <c r="G20" s="467"/>
      <c r="H20" s="468"/>
      <c r="I20" s="272" t="s">
        <v>80</v>
      </c>
    </row>
    <row r="21" spans="1:9" ht="24.95" customHeight="1" thickBot="1" x14ac:dyDescent="0.25">
      <c r="A21" s="273"/>
      <c r="B21" s="274" t="s">
        <v>93</v>
      </c>
      <c r="C21" s="289" t="s">
        <v>40</v>
      </c>
      <c r="D21" s="296" t="s">
        <v>113</v>
      </c>
      <c r="E21" s="297" t="s">
        <v>114</v>
      </c>
      <c r="F21" s="296" t="s">
        <v>112</v>
      </c>
      <c r="G21" s="294" t="s">
        <v>113</v>
      </c>
      <c r="H21" s="297" t="s">
        <v>114</v>
      </c>
      <c r="I21" s="298" t="s">
        <v>24</v>
      </c>
    </row>
    <row r="22" spans="1:9" ht="24.95" customHeight="1" x14ac:dyDescent="0.2">
      <c r="A22" s="275" t="s">
        <v>89</v>
      </c>
      <c r="B22" s="276" t="str">
        <f>IF(Master!B26="","",Master!B26)</f>
        <v>North</v>
      </c>
      <c r="C22" s="287" t="str">
        <f>IF(Master!A26="","",Master!A26)</f>
        <v>D</v>
      </c>
      <c r="D22" s="277" t="str">
        <f>IF(N!L$32 = 1, 25, IF(N!L$32 = 2, 50,""))</f>
        <v/>
      </c>
      <c r="E22" s="279">
        <f>IF(N!L$33 = 1, 25, IF(N!L$33 = 2, 50,""))</f>
        <v>25</v>
      </c>
      <c r="F22" s="277">
        <f>IF(N!L$36 = 1, 25, IF(N!L$36 = 2, 50,""))</f>
        <v>25</v>
      </c>
      <c r="G22" s="278" t="str">
        <f>IF(N!L$37 = 1, 25, IF(N!L$37 = 2, 50,""))</f>
        <v/>
      </c>
      <c r="H22" s="279">
        <f>IF(N!L$38 = 1, 25, IF(N!L$38 = 2, 50,""))</f>
        <v>25</v>
      </c>
      <c r="I22" s="280">
        <f>12-N!L39</f>
        <v>9</v>
      </c>
    </row>
    <row r="23" spans="1:9" ht="24.95" customHeight="1" x14ac:dyDescent="0.2">
      <c r="A23" s="275" t="s">
        <v>90</v>
      </c>
      <c r="B23" s="276" t="str">
        <f>IF(Master!B27="","",Master!B27)</f>
        <v>South Central</v>
      </c>
      <c r="C23" s="287" t="str">
        <f>IF(Master!A27="","",Master!A27)</f>
        <v>B</v>
      </c>
      <c r="D23" s="277" t="str">
        <f>IF(SC!L$32 = 1, 25, IF(SC!L$32 = 2, 50,""))</f>
        <v/>
      </c>
      <c r="E23" s="279">
        <f>IF(SC!L$33 = 1, 25, IF(SC!L$33 = 2, 50,""))</f>
        <v>25</v>
      </c>
      <c r="F23" s="277">
        <f>IF(SC!L$36 = 1, 25, IF(SC!L$36 = 2, 50,""))</f>
        <v>50</v>
      </c>
      <c r="G23" s="278">
        <f>IF(SC!L$37 = 1, 25, IF(SC!L$37 = 2, 50,""))</f>
        <v>25</v>
      </c>
      <c r="H23" s="279">
        <f>IF(SC!L$38 = 1, 25, IF(SC!L$38 = 2, 50,""))</f>
        <v>25</v>
      </c>
      <c r="I23" s="280">
        <f>12-SC!L39</f>
        <v>7</v>
      </c>
    </row>
    <row r="24" spans="1:9" ht="24.95" customHeight="1" x14ac:dyDescent="0.2">
      <c r="A24" s="275" t="s">
        <v>91</v>
      </c>
      <c r="B24" s="276" t="str">
        <f>IF(Master!B28="","",Master!B28)</f>
        <v>South East</v>
      </c>
      <c r="C24" s="287" t="str">
        <f>IF(Master!A28="","",Master!A28)</f>
        <v>A</v>
      </c>
      <c r="D24" s="277">
        <f>IF(SE!L$32 = 1, 25, IF(SE!L$32 = 2, 50,""))</f>
        <v>25</v>
      </c>
      <c r="E24" s="279" t="str">
        <f>IF(SE!L$33 = 1, 25, IF(SE!L$33 = 2, 50,""))</f>
        <v/>
      </c>
      <c r="F24" s="277" t="str">
        <f>IF(SE!L$36 = 1, 25, IF(SE!L$36 = 2, 50,""))</f>
        <v/>
      </c>
      <c r="G24" s="278" t="str">
        <f>IF(SE!L$37 = 1, 25, IF(SE!L$37 = 2, 50,""))</f>
        <v/>
      </c>
      <c r="H24" s="279">
        <f>IF(SE!L$38 = 1, 25, IF(SE!L$38 = 2, 50,""))</f>
        <v>50</v>
      </c>
      <c r="I24" s="280">
        <f>12-SE!L39</f>
        <v>9</v>
      </c>
    </row>
    <row r="25" spans="1:9" ht="24.95" customHeight="1" thickBot="1" x14ac:dyDescent="0.25">
      <c r="A25" s="281" t="s">
        <v>92</v>
      </c>
      <c r="B25" s="282" t="str">
        <f>IF(Master!B29="","",Master!B29)</f>
        <v>South West</v>
      </c>
      <c r="C25" s="288" t="str">
        <f>IF(Master!A29="","",Master!A29)</f>
        <v>C</v>
      </c>
      <c r="D25" s="283" t="str">
        <f>IF(SW!L$32 = 1, 25, IF(SW!L$32 = 2, 50,""))</f>
        <v/>
      </c>
      <c r="E25" s="285">
        <f>IF(SW!L$33 = 1, 25, IF(SW!L$33 = 2, 50,""))</f>
        <v>25</v>
      </c>
      <c r="F25" s="283" t="str">
        <f>IF(SW!L$36 = 1, 25, IF(SW!L$36 = 2, 50,""))</f>
        <v/>
      </c>
      <c r="G25" s="284" t="str">
        <f>IF(SW!L$37 = 1, 25, IF(SW!L$37 = 2, 50,""))</f>
        <v/>
      </c>
      <c r="H25" s="285">
        <f>IF(SW!L$38 = 1, 25, IF(SW!L$38 = 2, 50,""))</f>
        <v>25</v>
      </c>
      <c r="I25" s="286">
        <f>12-SW!L39</f>
        <v>10</v>
      </c>
    </row>
    <row r="28" spans="1:9" ht="24.95" customHeight="1" x14ac:dyDescent="0.2">
      <c r="A28" s="267" t="s">
        <v>108</v>
      </c>
    </row>
    <row r="29" spans="1:9" ht="24.95" customHeight="1" thickBot="1" x14ac:dyDescent="0.25"/>
    <row r="30" spans="1:9" ht="24.95" customHeight="1" thickBot="1" x14ac:dyDescent="0.25">
      <c r="A30" s="267"/>
      <c r="D30" s="448" t="s">
        <v>109</v>
      </c>
      <c r="E30" s="449"/>
      <c r="F30" s="449"/>
      <c r="G30" s="449"/>
      <c r="H30" s="449"/>
      <c r="I30" s="450"/>
    </row>
    <row r="31" spans="1:9" ht="24.95" customHeight="1" thickBot="1" x14ac:dyDescent="0.25">
      <c r="A31" s="271"/>
      <c r="D31" s="454" t="str">
        <f>Master!$B$9</f>
        <v>Golden Skaters Waltz</v>
      </c>
      <c r="E31" s="455"/>
      <c r="F31" s="456"/>
      <c r="G31" s="454" t="str">
        <f>Master!$B$10</f>
        <v>Riverside Rhumba</v>
      </c>
      <c r="H31" s="455"/>
      <c r="I31" s="456"/>
    </row>
    <row r="32" spans="1:9" ht="24.95" customHeight="1" thickBot="1" x14ac:dyDescent="0.25">
      <c r="A32" s="289" t="s">
        <v>40</v>
      </c>
      <c r="B32" s="274" t="s">
        <v>93</v>
      </c>
      <c r="C32" s="289"/>
      <c r="D32" s="296" t="s">
        <v>112</v>
      </c>
      <c r="E32" s="294" t="s">
        <v>113</v>
      </c>
      <c r="F32" s="297" t="s">
        <v>114</v>
      </c>
      <c r="G32" s="296" t="s">
        <v>112</v>
      </c>
      <c r="H32" s="294" t="s">
        <v>113</v>
      </c>
      <c r="I32" s="297" t="s">
        <v>114</v>
      </c>
    </row>
    <row r="33" spans="1:9" ht="24.95" customHeight="1" x14ac:dyDescent="0.2">
      <c r="A33" s="290" t="s">
        <v>1</v>
      </c>
      <c r="B33" s="276" t="str">
        <f>VLOOKUP(A33,Master!A$26:B$29,2,FALSE)</f>
        <v>South East</v>
      </c>
      <c r="C33" s="287"/>
      <c r="D33" s="277" t="str">
        <f>IF(Jnr!$K$10=6,"won",IF(Jnr!$K$10=4,"drew",IF(Jnr!$K$10=2,"lost","")))</f>
        <v>won</v>
      </c>
      <c r="E33" s="278" t="str">
        <f>IF(Jnr!$K$13=6,"won",IF(Jnr!$K$13=4,"drew",IF(Jnr!$K$13=2,"lost","")))</f>
        <v>won</v>
      </c>
      <c r="F33" s="279" t="str">
        <f>IF(Jnr!$K$15=6,"won",IF(Jnr!$K$15=4,"drew",IF(Jnr!$K$15=2,"lost","")))</f>
        <v>won</v>
      </c>
      <c r="G33" s="277" t="str">
        <f>IF(Jnr!$K$21=6,"won",IF(Jnr!$K$21=4,"drew",IF(Jnr!$K$21=2,"lost","")))</f>
        <v>lost</v>
      </c>
      <c r="H33" s="278" t="str">
        <f>IF(Jnr!$K$24=6,"won",IF(Jnr!$K$24=4,"drew",IF(Jnr!$K$24=2,"lost","")))</f>
        <v>lost</v>
      </c>
      <c r="I33" s="279" t="str">
        <f>IF(Jnr!$K$26=6,"won",IF(Jnr!$K$26=4,"drew",IF(Jnr!$K$26=2,"lost","")))</f>
        <v>won</v>
      </c>
    </row>
    <row r="34" spans="1:9" ht="24.95" customHeight="1" x14ac:dyDescent="0.2">
      <c r="A34" s="290" t="s">
        <v>2</v>
      </c>
      <c r="B34" s="276" t="str">
        <f>VLOOKUP(A34,Master!A$26:B$29,2,FALSE)</f>
        <v>South Central</v>
      </c>
      <c r="C34" s="287"/>
      <c r="D34" s="277" t="str">
        <f>IF(Jnr!$L$10=6,"won",IF(Jnr!$L$10=4,"drew",IF(Jnr!$L$10=2,"lost","")))</f>
        <v>lost</v>
      </c>
      <c r="E34" s="278" t="str">
        <f>IF(Jnr!$L$12=6,"won",IF(Jnr!$L$12=4,"drew",IF(Jnr!$L$12=2,"lost","")))</f>
        <v>lost</v>
      </c>
      <c r="F34" s="279" t="str">
        <f>IF(Jnr!$L$14=6,"won",IF(Jnr!$L$14=4,"drew",IF(Jnr!$L$14=2,"lost","")))</f>
        <v>lost</v>
      </c>
      <c r="G34" s="277" t="str">
        <f>IF(Jnr!$L$21=6,"won",IF(Jnr!$L$21=4,"drew",IF(Jnr!$L$21=2,"lost","")))</f>
        <v>won</v>
      </c>
      <c r="H34" s="278" t="str">
        <f>IF(Jnr!$L$23=6,"won",IF(Jnr!$L$23=4,"drew",IF(Jnr!$L$23=2,"lost","")))</f>
        <v>lost</v>
      </c>
      <c r="I34" s="279" t="str">
        <f>IF(Jnr!$L$25=6,"won",IF(Jnr!$L$25=4,"drew",IF(Jnr!$L$25=2,"lost","")))</f>
        <v>won</v>
      </c>
    </row>
    <row r="35" spans="1:9" ht="24.95" customHeight="1" x14ac:dyDescent="0.2">
      <c r="A35" s="290" t="s">
        <v>3</v>
      </c>
      <c r="B35" s="276" t="str">
        <f>VLOOKUP(A35,Master!A$26:B$29,2,FALSE)</f>
        <v>South West</v>
      </c>
      <c r="C35" s="287"/>
      <c r="D35" s="277" t="str">
        <f>IF(Jnr!$M$11=6,"won",IF(Jnr!$M$11=4,"drew",IF(Jnr!$M$11=2,"lost","")))</f>
        <v>lost</v>
      </c>
      <c r="E35" s="278" t="str">
        <f>IF(Jnr!$M$12=6,"won",IF(Jnr!$M$12=4,"drew",IF(Jnr!$M$12=2,"lost","")))</f>
        <v>won</v>
      </c>
      <c r="F35" s="279" t="str">
        <f>IF(Jnr!$M$15=6,"won",IF(Jnr!$M$15=4,"drew",IF(Jnr!$M$15=2,"lost","")))</f>
        <v>lost</v>
      </c>
      <c r="G35" s="277" t="str">
        <f>IF(Jnr!$M$22=6,"won",IF(Jnr!$M$22=4,"drew",IF(Jnr!$M$22=2,"lost","")))</f>
        <v>lost</v>
      </c>
      <c r="H35" s="278" t="str">
        <f>IF(Jnr!$M$23=6,"won",IF(Jnr!$M$23=4,"drew",IF(Jnr!$M$23=2,"lost","")))</f>
        <v>won</v>
      </c>
      <c r="I35" s="279" t="str">
        <f>IF(Jnr!$M$26=6,"won",IF(Jnr!$M$26=4,"drew",IF(Jnr!$M$26=2,"lost","")))</f>
        <v>lost</v>
      </c>
    </row>
    <row r="36" spans="1:9" ht="24.95" customHeight="1" thickBot="1" x14ac:dyDescent="0.25">
      <c r="A36" s="291" t="s">
        <v>4</v>
      </c>
      <c r="B36" s="282" t="str">
        <f>VLOOKUP(A36,Master!A$26:B$29,2,FALSE)</f>
        <v>North</v>
      </c>
      <c r="C36" s="288"/>
      <c r="D36" s="283" t="str">
        <f>IF(Jnr!$N$11=6,"won",IF(Jnr!$N$11=4,"drew",IF(Jnr!$N$11=2,"lost","")))</f>
        <v>won</v>
      </c>
      <c r="E36" s="284" t="str">
        <f>IF(Jnr!$N$13=6,"won",IF(Jnr!$N$13=4,"drew",IF(Jnr!$N$13=2,"lost","")))</f>
        <v>lost</v>
      </c>
      <c r="F36" s="285" t="str">
        <f>IF(Jnr!$N$14=6,"won",IF(Jnr!$N$14=4,"drew",IF(Jnr!$N$14=2,"lost","")))</f>
        <v>won</v>
      </c>
      <c r="G36" s="283" t="str">
        <f>IF(Jnr!$N$22=6,"won",IF(Jnr!$N$22=4,"drew",IF(Jnr!$N$22=2,"lost","")))</f>
        <v>won</v>
      </c>
      <c r="H36" s="284" t="str">
        <f>IF(Jnr!$N$24=6,"won",IF(Jnr!$N$24=4,"drew",IF(Jnr!$N$24=2,"lost","")))</f>
        <v>won</v>
      </c>
      <c r="I36" s="285" t="str">
        <f>IF(Jnr!$N$25=6,"won",IF(Jnr!$N$25=4,"drew",IF(Jnr!$N$25=2,"lost","")))</f>
        <v>lost</v>
      </c>
    </row>
    <row r="37" spans="1:9" ht="24.95" customHeight="1" thickBot="1" x14ac:dyDescent="0.25"/>
    <row r="38" spans="1:9" ht="24.95" customHeight="1" thickBot="1" x14ac:dyDescent="0.25">
      <c r="A38" s="267"/>
      <c r="D38" s="451" t="s">
        <v>110</v>
      </c>
      <c r="E38" s="452"/>
      <c r="F38" s="452"/>
      <c r="G38" s="452"/>
      <c r="H38" s="452"/>
      <c r="I38" s="453"/>
    </row>
    <row r="39" spans="1:9" ht="24.95" customHeight="1" thickBot="1" x14ac:dyDescent="0.25">
      <c r="A39" s="271"/>
      <c r="D39" s="445" t="str">
        <f>Master!$B$15</f>
        <v>Prelim Waltz</v>
      </c>
      <c r="E39" s="446"/>
      <c r="F39" s="447"/>
      <c r="G39" s="445" t="str">
        <f>Master!$B$16</f>
        <v>14 Step</v>
      </c>
      <c r="H39" s="446"/>
      <c r="I39" s="447"/>
    </row>
    <row r="40" spans="1:9" ht="24.95" customHeight="1" thickBot="1" x14ac:dyDescent="0.25">
      <c r="A40" s="289" t="s">
        <v>40</v>
      </c>
      <c r="B40" s="274" t="s">
        <v>93</v>
      </c>
      <c r="C40" s="289"/>
      <c r="D40" s="296" t="s">
        <v>112</v>
      </c>
      <c r="E40" s="294" t="s">
        <v>113</v>
      </c>
      <c r="F40" s="297" t="s">
        <v>114</v>
      </c>
      <c r="G40" s="296" t="s">
        <v>112</v>
      </c>
      <c r="H40" s="294" t="s">
        <v>113</v>
      </c>
      <c r="I40" s="297" t="s">
        <v>114</v>
      </c>
    </row>
    <row r="41" spans="1:9" ht="24.95" customHeight="1" x14ac:dyDescent="0.2">
      <c r="A41" s="290" t="s">
        <v>1</v>
      </c>
      <c r="B41" s="276" t="str">
        <f>VLOOKUP(A41,Master!A$26:B$29,2,FALSE)</f>
        <v>South East</v>
      </c>
      <c r="C41" s="287"/>
      <c r="D41" s="277" t="str">
        <f>IF(Inter!$K$10=6,"won",IF(Inter!$K$10=4,"drew",IF(Inter!$K$10=2,"lost","")))</f>
        <v>lost</v>
      </c>
      <c r="E41" s="278" t="str">
        <f>IF(Inter!$K$13=6,"won",IF(Inter!$K$13=4,"drew",IF(Inter!$K$13=2,"lost","")))</f>
        <v>lost</v>
      </c>
      <c r="F41" s="279" t="str">
        <f>IF(Inter!$K$15=6,"won",IF(Inter!$K$15=4,"drew",IF(Inter!$K$15=2,"lost","")))</f>
        <v>lost</v>
      </c>
      <c r="G41" s="277" t="str">
        <f>IF(Inter!$K$21=6,"won",IF(Inter!$K$21=4,"drew",IF(Inter!$K$21=2,"lost","")))</f>
        <v>lost</v>
      </c>
      <c r="H41" s="278" t="str">
        <f>IF(Inter!$K$24=6,"won",IF(Inter!$K$24=4,"drew",IF(Inter!$K$24=2,"lost","")))</f>
        <v>lost</v>
      </c>
      <c r="I41" s="279" t="str">
        <f>IF(Inter!$K$26=6,"won",IF(Inter!$K$26=4,"drew",IF(Inter!$K$26=2,"lost","")))</f>
        <v>lost</v>
      </c>
    </row>
    <row r="42" spans="1:9" ht="24.95" customHeight="1" x14ac:dyDescent="0.2">
      <c r="A42" s="290" t="s">
        <v>2</v>
      </c>
      <c r="B42" s="276" t="str">
        <f>VLOOKUP(A42,Master!A$26:B$29,2,FALSE)</f>
        <v>South Central</v>
      </c>
      <c r="C42" s="287"/>
      <c r="D42" s="277" t="str">
        <f>IF(Inter!$L$10=6,"won",IF(Inter!$L$10=4,"drew",IF(Inter!$L$10=2,"lost","")))</f>
        <v>won</v>
      </c>
      <c r="E42" s="278" t="str">
        <f>IF(Inter!$L$12=6,"won",IF(Inter!$L$12=4,"drew",IF(Inter!$L$12=2,"lost","")))</f>
        <v>lost</v>
      </c>
      <c r="F42" s="279" t="str">
        <f>IF(Inter!$L$14=6,"won",IF(Inter!$L$14=4,"drew",IF(Inter!$L$14=2,"lost","")))</f>
        <v>won</v>
      </c>
      <c r="G42" s="277" t="str">
        <f>IF(Inter!$L$21=6,"won",IF(Inter!$L$21=4,"drew",IF(Inter!$L$21=2,"lost","")))</f>
        <v>won</v>
      </c>
      <c r="H42" s="278" t="str">
        <f>IF(Inter!$L$23=6,"won",IF(Inter!$L$23=4,"drew",IF(Inter!$L$23=2,"lost","")))</f>
        <v>won</v>
      </c>
      <c r="I42" s="279" t="str">
        <f>IF(Inter!$L$25=6,"won",IF(Inter!$L$25=4,"drew",IF(Inter!$L$25=2,"lost","")))</f>
        <v>lost</v>
      </c>
    </row>
    <row r="43" spans="1:9" ht="24.95" customHeight="1" x14ac:dyDescent="0.2">
      <c r="A43" s="290" t="s">
        <v>3</v>
      </c>
      <c r="B43" s="276" t="str">
        <f>VLOOKUP(A43,Master!A$26:B$29,2,FALSE)</f>
        <v>South West</v>
      </c>
      <c r="C43" s="287"/>
      <c r="D43" s="277" t="str">
        <f>IF(Inter!$M$11=6,"won",IF(Inter!$M$11=4,"drew",IF(Inter!$M$11=2,"lost","")))</f>
        <v>lost</v>
      </c>
      <c r="E43" s="278" t="str">
        <f>IF(Inter!$M$12=6,"won",IF(Inter!$M$12=4,"drew",IF(Inter!$M$12=2,"lost","")))</f>
        <v>won</v>
      </c>
      <c r="F43" s="279" t="str">
        <f>IF(Inter!$M$15=6,"won",IF(Inter!$M$15=4,"drew",IF(Inter!$M$15=2,"lost","")))</f>
        <v>won</v>
      </c>
      <c r="G43" s="277" t="str">
        <f>IF(Inter!$M$22=6,"won",IF(Inter!$M$22=4,"drew",IF(Inter!$M$22=2,"lost","")))</f>
        <v>won</v>
      </c>
      <c r="H43" s="278" t="str">
        <f>IF(Inter!$M$23=6,"won",IF(Inter!$M$23=4,"drew",IF(Inter!$M$23=2,"lost","")))</f>
        <v>lost</v>
      </c>
      <c r="I43" s="279" t="str">
        <f>IF(Inter!$M$26=6,"won",IF(Inter!$M$26=4,"drew",IF(Inter!$M$26=2,"lost","")))</f>
        <v>won</v>
      </c>
    </row>
    <row r="44" spans="1:9" ht="24.95" customHeight="1" thickBot="1" x14ac:dyDescent="0.25">
      <c r="A44" s="291" t="s">
        <v>4</v>
      </c>
      <c r="B44" s="282" t="str">
        <f>VLOOKUP(A44,Master!A$26:B$29,2,FALSE)</f>
        <v>North</v>
      </c>
      <c r="C44" s="288"/>
      <c r="D44" s="283" t="str">
        <f>IF(Inter!$N$11=6,"won",IF(Inter!$N$11=4,"drew",IF(Inter!$N$11=2,"lost","")))</f>
        <v>won</v>
      </c>
      <c r="E44" s="284" t="str">
        <f>IF(Inter!$N$13=6,"won",IF(Inter!$N$13=4,"drew",IF(Inter!$N$13=2,"lost","")))</f>
        <v>won</v>
      </c>
      <c r="F44" s="285" t="str">
        <f>IF(Inter!$N$14=6,"won",IF(Inter!$N$14=4,"drew",IF(Inter!$N$14=2,"lost","")))</f>
        <v>lost</v>
      </c>
      <c r="G44" s="283" t="str">
        <f>IF(Inter!$N$22=6,"won",IF(Inter!$N$22=4,"drew",IF(Inter!$N$22=2,"lost","")))</f>
        <v>lost</v>
      </c>
      <c r="H44" s="284" t="str">
        <f>IF(Inter!$N$24=6,"won",IF(Inter!$N$24=4,"drew",IF(Inter!$N$24=2,"lost","")))</f>
        <v>won</v>
      </c>
      <c r="I44" s="285" t="str">
        <f>IF(Inter!$N$25=6,"won",IF(Inter!$N$25=4,"drew",IF(Inter!$N$25=2,"lost","")))</f>
        <v>won</v>
      </c>
    </row>
    <row r="45" spans="1:9" ht="24.95" customHeight="1" thickBot="1" x14ac:dyDescent="0.25"/>
    <row r="46" spans="1:9" ht="24.95" customHeight="1" thickBot="1" x14ac:dyDescent="0.25">
      <c r="A46" s="267"/>
      <c r="D46" s="463" t="s">
        <v>111</v>
      </c>
      <c r="E46" s="464"/>
      <c r="F46" s="464"/>
      <c r="G46" s="464"/>
      <c r="H46" s="464"/>
      <c r="I46" s="465"/>
    </row>
    <row r="47" spans="1:9" ht="24.95" customHeight="1" thickBot="1" x14ac:dyDescent="0.25">
      <c r="A47" s="271"/>
      <c r="D47" s="442" t="str">
        <f>Master!$B$21</f>
        <v>Blues</v>
      </c>
      <c r="E47" s="443"/>
      <c r="F47" s="444"/>
      <c r="G47" s="442" t="str">
        <f>Master!$B$22</f>
        <v>Starlight Waltz</v>
      </c>
      <c r="H47" s="443"/>
      <c r="I47" s="444"/>
    </row>
    <row r="48" spans="1:9" ht="24.95" customHeight="1" thickBot="1" x14ac:dyDescent="0.25">
      <c r="A48" s="289" t="s">
        <v>40</v>
      </c>
      <c r="B48" s="274" t="s">
        <v>93</v>
      </c>
      <c r="C48" s="289"/>
      <c r="D48" s="296" t="s">
        <v>112</v>
      </c>
      <c r="E48" s="294" t="s">
        <v>113</v>
      </c>
      <c r="F48" s="297" t="s">
        <v>114</v>
      </c>
      <c r="G48" s="296" t="s">
        <v>112</v>
      </c>
      <c r="H48" s="294" t="s">
        <v>113</v>
      </c>
      <c r="I48" s="297" t="s">
        <v>114</v>
      </c>
    </row>
    <row r="49" spans="1:9" ht="24.95" customHeight="1" x14ac:dyDescent="0.2">
      <c r="A49" s="290" t="s">
        <v>1</v>
      </c>
      <c r="B49" s="276" t="str">
        <f>VLOOKUP(A49,Master!A$26:B$29,2,FALSE)</f>
        <v>South East</v>
      </c>
      <c r="C49" s="287"/>
      <c r="D49" s="277" t="str">
        <f>IF(Snr!$K$10=6,"won",IF(Snr!$K$10=4,"drew",IF(Snr!$K$10=2,"lost","")))</f>
        <v>lost</v>
      </c>
      <c r="E49" s="278" t="str">
        <f>IF(Snr!$K$13=6,"won",IF(Snr!$K$13=4,"drew",IF(Snr!$K$13=2,"lost","")))</f>
        <v>lost</v>
      </c>
      <c r="F49" s="279" t="str">
        <f>IF(Snr!$K$15=6,"won",IF(Snr!$K$15=4,"drew",IF(Snr!$K$15=2,"lost","")))</f>
        <v>won</v>
      </c>
      <c r="G49" s="277" t="str">
        <f>IF(Snr!$K$21=6,"won",IF(Snr!$K$21=4,"drew",IF(Snr!$K$21=2,"lost","")))</f>
        <v>lost</v>
      </c>
      <c r="H49" s="278" t="str">
        <f>IF(Snr!$K$24=6,"won",IF(Snr!$K$24=4,"drew",IF(Snr!$K$24=2,"lost","")))</f>
        <v>lost</v>
      </c>
      <c r="I49" s="279" t="str">
        <f>IF(Snr!$K$26=6,"won",IF(Snr!$K$26=4,"drew",IF(Snr!$K$26=2,"lost","")))</f>
        <v>won</v>
      </c>
    </row>
    <row r="50" spans="1:9" ht="24.95" customHeight="1" x14ac:dyDescent="0.2">
      <c r="A50" s="290" t="s">
        <v>2</v>
      </c>
      <c r="B50" s="276" t="str">
        <f>VLOOKUP(A50,Master!A$26:B$29,2,FALSE)</f>
        <v>South Central</v>
      </c>
      <c r="C50" s="287"/>
      <c r="D50" s="277" t="str">
        <f>IF(Snr!$L$10=6,"won",IF(Snr!$L$10=4,"drew",IF(Snr!$L$10=2,"lost","")))</f>
        <v>won</v>
      </c>
      <c r="E50" s="278" t="str">
        <f>IF(Snr!$L$12=6,"won",IF(Snr!$L$12=4,"drew",IF(Snr!$L$12=2,"lost","")))</f>
        <v>lost</v>
      </c>
      <c r="F50" s="279" t="str">
        <f>IF(Snr!$L$14=6,"won",IF(Snr!$L$14=4,"drew",IF(Snr!$L$14=2,"lost","")))</f>
        <v>won</v>
      </c>
      <c r="G50" s="277" t="str">
        <f>IF(Snr!$L$21=6,"won",IF(Snr!$L$21=4,"drew",IF(Snr!$L$21=2,"lost","")))</f>
        <v>won</v>
      </c>
      <c r="H50" s="278" t="str">
        <f>IF(Snr!$L$23=6,"won",IF(Snr!$L$23=4,"drew",IF(Snr!$L$23=2,"lost","")))</f>
        <v>won</v>
      </c>
      <c r="I50" s="279" t="str">
        <f>IF(Snr!$L$25=6,"won",IF(Snr!$L$25=4,"drew",IF(Snr!$L$25=2,"lost","")))</f>
        <v>won</v>
      </c>
    </row>
    <row r="51" spans="1:9" ht="24.95" customHeight="1" x14ac:dyDescent="0.2">
      <c r="A51" s="290" t="s">
        <v>3</v>
      </c>
      <c r="B51" s="276" t="str">
        <f>VLOOKUP(A51,Master!A$26:B$29,2,FALSE)</f>
        <v>South West</v>
      </c>
      <c r="C51" s="287"/>
      <c r="D51" s="277" t="str">
        <f>IF(Snr!$M$11=6,"won",IF(Snr!$M$11=4,"drew",IF(Snr!$M$11=2,"lost","")))</f>
        <v>won</v>
      </c>
      <c r="E51" s="278" t="str">
        <f>IF(Snr!$M$12=6,"won",IF(Snr!$M$12=4,"drew",IF(Snr!$M$12=2,"lost","")))</f>
        <v>won</v>
      </c>
      <c r="F51" s="279" t="str">
        <f>IF(Snr!$M$15=6,"won",IF(Snr!$M$15=4,"drew",IF(Snr!$M$15=2,"lost","")))</f>
        <v>lost</v>
      </c>
      <c r="G51" s="277" t="str">
        <f>IF(Snr!$M$22=6,"won",IF(Snr!$M$22=4,"drew",IF(Snr!$M$22=2,"lost","")))</f>
        <v>won</v>
      </c>
      <c r="H51" s="278" t="str">
        <f>IF(Snr!$M$23=6,"won",IF(Snr!$M$23=4,"drew",IF(Snr!$M$23=2,"lost","")))</f>
        <v>lost</v>
      </c>
      <c r="I51" s="279" t="str">
        <f>IF(Snr!$M$26=6,"won",IF(Snr!$M$26=4,"drew",IF(Snr!$M$26=2,"lost","")))</f>
        <v>lost</v>
      </c>
    </row>
    <row r="52" spans="1:9" ht="24.95" customHeight="1" thickBot="1" x14ac:dyDescent="0.25">
      <c r="A52" s="291" t="s">
        <v>4</v>
      </c>
      <c r="B52" s="282" t="str">
        <f>VLOOKUP(A52,Master!A$26:B$29,2,FALSE)</f>
        <v>North</v>
      </c>
      <c r="C52" s="288"/>
      <c r="D52" s="283" t="str">
        <f>IF(Snr!$N$11=6,"won",IF(Snr!$N$11=4,"drew",IF(Snr!$N$11=2,"lost","")))</f>
        <v>lost</v>
      </c>
      <c r="E52" s="284" t="str">
        <f>IF(Snr!$N$13=6,"won",IF(Snr!$N$13=4,"drew",IF(Snr!$N$13=2,"lost","")))</f>
        <v>won</v>
      </c>
      <c r="F52" s="285" t="str">
        <f>IF(Snr!$N$14=6,"won",IF(Snr!$N$14=4,"drew",IF(Snr!$N$14=2,"lost","")))</f>
        <v>lost</v>
      </c>
      <c r="G52" s="283" t="str">
        <f>IF(Snr!$N$22=6,"won",IF(Snr!$N$22=4,"drew",IF(Snr!$N$22=2,"lost","")))</f>
        <v>lost</v>
      </c>
      <c r="H52" s="284" t="str">
        <f>IF(Snr!$N$24=6,"won",IF(Snr!$N$24=4,"drew",IF(Snr!$N$24=2,"lost","")))</f>
        <v>won</v>
      </c>
      <c r="I52" s="285" t="str">
        <f>IF(Snr!$N$25=6,"won",IF(Snr!$N$25=4,"drew",IF(Snr!$N$25=2,"lost","")))</f>
        <v>lost</v>
      </c>
    </row>
  </sheetData>
  <sheetProtection password="CAEF" sheet="1" objects="1" scenarios="1"/>
  <mergeCells count="18">
    <mergeCell ref="D3:H3"/>
    <mergeCell ref="D4:E4"/>
    <mergeCell ref="D11:H11"/>
    <mergeCell ref="D12:E12"/>
    <mergeCell ref="D46:I46"/>
    <mergeCell ref="D20:E20"/>
    <mergeCell ref="F20:H20"/>
    <mergeCell ref="F12:H12"/>
    <mergeCell ref="F4:H4"/>
    <mergeCell ref="D19:H19"/>
    <mergeCell ref="G47:I47"/>
    <mergeCell ref="D47:F47"/>
    <mergeCell ref="G39:I39"/>
    <mergeCell ref="D39:F39"/>
    <mergeCell ref="D30:I30"/>
    <mergeCell ref="D38:I38"/>
    <mergeCell ref="G31:I31"/>
    <mergeCell ref="D31:F31"/>
  </mergeCells>
  <phoneticPr fontId="5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M39"/>
  <sheetViews>
    <sheetView showGridLines="0" showRowColHeaders="0" tabSelected="1" zoomScale="70" zoomScaleNormal="70" workbookViewId="0">
      <selection activeCell="E26" sqref="E26:F26"/>
    </sheetView>
  </sheetViews>
  <sheetFormatPr defaultColWidth="11.42578125" defaultRowHeight="15" x14ac:dyDescent="0.2"/>
  <cols>
    <col min="1" max="1" width="15" style="121" customWidth="1"/>
    <col min="2" max="3" width="13.85546875" style="121" customWidth="1"/>
    <col min="4" max="4" width="1.85546875" style="121" customWidth="1"/>
    <col min="5" max="6" width="13.85546875" style="121" customWidth="1"/>
    <col min="7" max="7" width="8.85546875" style="121" customWidth="1"/>
    <col min="8" max="9" width="10" style="122" customWidth="1"/>
    <col min="10" max="10" width="10" style="121" customWidth="1"/>
    <col min="11" max="16384" width="11.42578125" style="121"/>
  </cols>
  <sheetData>
    <row r="1" spans="1:13" s="99" customFormat="1" ht="23.25" x14ac:dyDescent="0.2">
      <c r="A1" s="97" t="s">
        <v>80</v>
      </c>
      <c r="B1" s="100" t="str">
        <f>IF(Master!A26="","",Master!A26)</f>
        <v>D</v>
      </c>
      <c r="C1" s="97" t="str">
        <f>IF(Master!B26="","",Master!B26)</f>
        <v>North</v>
      </c>
      <c r="D1" s="98"/>
      <c r="G1" s="240"/>
      <c r="H1" s="100"/>
      <c r="I1" s="100"/>
      <c r="J1" s="100"/>
    </row>
    <row r="2" spans="1:13" s="101" customFormat="1" ht="20.100000000000001" customHeight="1" x14ac:dyDescent="0.2">
      <c r="B2" s="102"/>
      <c r="H2" s="103"/>
      <c r="I2" s="103"/>
    </row>
    <row r="3" spans="1:13" s="101" customFormat="1" ht="20.100000000000001" customHeight="1" x14ac:dyDescent="0.2">
      <c r="A3" s="104" t="s">
        <v>44</v>
      </c>
      <c r="B3" s="327" t="s">
        <v>116</v>
      </c>
      <c r="C3" s="328"/>
      <c r="D3" s="329"/>
      <c r="F3" s="105" t="s">
        <v>27</v>
      </c>
      <c r="G3" s="323" t="str">
        <f>Master!$B$3</f>
        <v>Solihull</v>
      </c>
      <c r="H3" s="324"/>
      <c r="I3" s="325"/>
    </row>
    <row r="4" spans="1:13" s="101" customFormat="1" ht="20.100000000000001" customHeight="1" x14ac:dyDescent="0.2">
      <c r="F4" s="105" t="s">
        <v>28</v>
      </c>
      <c r="G4" s="323" t="str">
        <f>Master!$B$4</f>
        <v>10th September 2016</v>
      </c>
      <c r="H4" s="324"/>
      <c r="I4" s="325"/>
    </row>
    <row r="5" spans="1:13" s="101" customFormat="1" ht="20.100000000000001" customHeight="1" x14ac:dyDescent="0.2">
      <c r="F5" s="105" t="s">
        <v>29</v>
      </c>
      <c r="G5" s="106" t="str">
        <f>Master!$B$5</f>
        <v>4:15 - 7:45pm</v>
      </c>
      <c r="H5" s="107"/>
      <c r="I5" s="108"/>
    </row>
    <row r="6" spans="1:13" s="101" customFormat="1" ht="20.100000000000001" customHeight="1" thickBot="1" x14ac:dyDescent="0.25">
      <c r="A6" s="109"/>
      <c r="B6" s="110"/>
      <c r="C6" s="110"/>
      <c r="D6" s="110"/>
      <c r="H6" s="103"/>
      <c r="I6" s="103"/>
    </row>
    <row r="7" spans="1:13" s="101" customFormat="1" ht="20.100000000000001" customHeight="1" thickBot="1" x14ac:dyDescent="0.25">
      <c r="A7" s="101" t="s">
        <v>45</v>
      </c>
      <c r="B7" s="326" t="s">
        <v>46</v>
      </c>
      <c r="C7" s="326"/>
      <c r="E7" s="326" t="s">
        <v>47</v>
      </c>
      <c r="F7" s="326"/>
      <c r="G7" s="103" t="s">
        <v>12</v>
      </c>
      <c r="H7" s="103" t="s">
        <v>48</v>
      </c>
      <c r="I7" s="103" t="s">
        <v>48</v>
      </c>
      <c r="K7" s="316" t="s">
        <v>84</v>
      </c>
      <c r="L7" s="317"/>
      <c r="M7" s="318"/>
    </row>
    <row r="8" spans="1:13" s="101" customFormat="1" ht="20.100000000000001" customHeight="1" thickBot="1" x14ac:dyDescent="0.25">
      <c r="A8" s="321" t="s">
        <v>49</v>
      </c>
      <c r="B8" s="322"/>
      <c r="C8" s="111" t="str">
        <f>Master!$B$9</f>
        <v>Golden Skaters Waltz</v>
      </c>
      <c r="D8" s="112"/>
      <c r="E8" s="112"/>
      <c r="F8" s="113"/>
      <c r="H8" s="103" t="s">
        <v>50</v>
      </c>
      <c r="I8" s="103" t="s">
        <v>51</v>
      </c>
      <c r="K8" s="236" t="s">
        <v>85</v>
      </c>
      <c r="L8" s="102"/>
      <c r="M8" s="228"/>
    </row>
    <row r="9" spans="1:13" s="101" customFormat="1" ht="20.100000000000001" customHeight="1" x14ac:dyDescent="0.2">
      <c r="A9" s="114">
        <v>1</v>
      </c>
      <c r="B9" s="305" t="s">
        <v>162</v>
      </c>
      <c r="C9" s="313"/>
      <c r="D9" s="115"/>
      <c r="E9" s="305" t="s">
        <v>163</v>
      </c>
      <c r="F9" s="306"/>
      <c r="G9" s="260" t="str">
        <f>VLOOKUP(B$1,Lookup!$A$33:$J$36,4,FALSE)</f>
        <v>won</v>
      </c>
      <c r="H9" s="116"/>
      <c r="I9" s="116"/>
      <c r="J9" s="117"/>
      <c r="K9" s="237" t="s">
        <v>82</v>
      </c>
      <c r="L9" s="102" t="s">
        <v>86</v>
      </c>
      <c r="M9" s="228"/>
    </row>
    <row r="10" spans="1:13" s="101" customFormat="1" ht="20.100000000000001" customHeight="1" x14ac:dyDescent="0.2">
      <c r="A10" s="114">
        <v>2</v>
      </c>
      <c r="B10" s="309" t="s">
        <v>164</v>
      </c>
      <c r="C10" s="311"/>
      <c r="D10" s="118"/>
      <c r="E10" s="309" t="s">
        <v>165</v>
      </c>
      <c r="F10" s="310"/>
      <c r="G10" s="261" t="str">
        <f>VLOOKUP(B$1,Lookup!$A$33:$J$36,5,FALSE)</f>
        <v>lost</v>
      </c>
      <c r="H10" s="259"/>
      <c r="I10" s="119"/>
      <c r="J10" s="222"/>
      <c r="K10" s="237" t="s">
        <v>78</v>
      </c>
      <c r="L10" s="102">
        <f>IF(H10="y",1,IF(I10="y",2,0))</f>
        <v>0</v>
      </c>
      <c r="M10" s="228"/>
    </row>
    <row r="11" spans="1:13" s="101" customFormat="1" ht="20.100000000000001" customHeight="1" thickBot="1" x14ac:dyDescent="0.25">
      <c r="A11" s="114">
        <v>3</v>
      </c>
      <c r="B11" s="307" t="s">
        <v>166</v>
      </c>
      <c r="C11" s="312"/>
      <c r="D11" s="118"/>
      <c r="E11" s="307" t="s">
        <v>167</v>
      </c>
      <c r="F11" s="308"/>
      <c r="G11" s="262" t="str">
        <f>VLOOKUP(B$1,Lookup!$A$33:$J$36,6,FALSE)</f>
        <v>won</v>
      </c>
      <c r="H11" s="259"/>
      <c r="I11" s="119"/>
      <c r="J11" s="117"/>
      <c r="K11" s="238" t="s">
        <v>81</v>
      </c>
      <c r="L11" s="102">
        <f>IF(H11="y",1,IF(I11="y",2,0))</f>
        <v>0</v>
      </c>
      <c r="M11" s="228"/>
    </row>
    <row r="12" spans="1:13" ht="9.9499999999999993" customHeight="1" thickBot="1" x14ac:dyDescent="0.25">
      <c r="G12" s="241"/>
      <c r="K12" s="229"/>
      <c r="L12" s="226"/>
      <c r="M12" s="230"/>
    </row>
    <row r="13" spans="1:13" s="101" customFormat="1" ht="20.100000000000001" customHeight="1" thickBot="1" x14ac:dyDescent="0.25">
      <c r="A13" s="321" t="s">
        <v>52</v>
      </c>
      <c r="B13" s="322"/>
      <c r="C13" s="111" t="str">
        <f>Master!$B$10</f>
        <v>Riverside Rhumba</v>
      </c>
      <c r="D13" s="112"/>
      <c r="E13" s="112"/>
      <c r="F13" s="113"/>
      <c r="G13" s="241"/>
      <c r="H13" s="103"/>
      <c r="I13" s="103"/>
      <c r="K13" s="231"/>
      <c r="L13" s="102"/>
      <c r="M13" s="228"/>
    </row>
    <row r="14" spans="1:13" s="101" customFormat="1" ht="20.100000000000001" customHeight="1" x14ac:dyDescent="0.2">
      <c r="A14" s="114">
        <v>1</v>
      </c>
      <c r="B14" s="307" t="s">
        <v>168</v>
      </c>
      <c r="C14" s="312"/>
      <c r="D14" s="115"/>
      <c r="E14" s="307" t="s">
        <v>169</v>
      </c>
      <c r="F14" s="308"/>
      <c r="G14" s="260" t="str">
        <f>VLOOKUP(B$1,Lookup!$A$33:$J$36,7,FALSE)</f>
        <v>won</v>
      </c>
      <c r="H14" s="259"/>
      <c r="I14" s="119"/>
      <c r="J14" s="117"/>
      <c r="K14" s="231"/>
      <c r="L14" s="102">
        <f>IF(H14="y",1,IF(I14="y",2,0))</f>
        <v>0</v>
      </c>
      <c r="M14" s="228"/>
    </row>
    <row r="15" spans="1:13" s="101" customFormat="1" ht="20.100000000000001" customHeight="1" x14ac:dyDescent="0.2">
      <c r="A15" s="114">
        <v>2</v>
      </c>
      <c r="B15" s="309" t="s">
        <v>170</v>
      </c>
      <c r="C15" s="311"/>
      <c r="D15" s="118"/>
      <c r="E15" s="309" t="s">
        <v>171</v>
      </c>
      <c r="F15" s="310"/>
      <c r="G15" s="261" t="str">
        <f>VLOOKUP(B$1,Lookup!$A$33:$J$36,8,FALSE)</f>
        <v>won</v>
      </c>
      <c r="H15" s="259"/>
      <c r="I15" s="119"/>
      <c r="J15" s="117"/>
      <c r="K15" s="231"/>
      <c r="L15" s="102">
        <f>IF(H15="y",1,IF(I15="y",2,0))</f>
        <v>0</v>
      </c>
      <c r="M15" s="228"/>
    </row>
    <row r="16" spans="1:13" s="101" customFormat="1" ht="20.100000000000001" customHeight="1" thickBot="1" x14ac:dyDescent="0.25">
      <c r="A16" s="114">
        <v>3</v>
      </c>
      <c r="B16" s="309" t="s">
        <v>172</v>
      </c>
      <c r="C16" s="311"/>
      <c r="D16" s="118"/>
      <c r="E16" s="309" t="s">
        <v>173</v>
      </c>
      <c r="F16" s="310"/>
      <c r="G16" s="262" t="str">
        <f>VLOOKUP(B$1,Lookup!$A$33:$J$36,9,FALSE)</f>
        <v>lost</v>
      </c>
      <c r="H16" s="259"/>
      <c r="I16" s="119"/>
      <c r="J16" s="117"/>
      <c r="K16" s="231"/>
      <c r="L16" s="102">
        <f>IF(H16="y",1,IF(I16="y",2,0))</f>
        <v>0</v>
      </c>
      <c r="M16" s="228"/>
    </row>
    <row r="17" spans="1:13" ht="20.100000000000001" customHeight="1" x14ac:dyDescent="0.2">
      <c r="A17" s="123"/>
      <c r="B17" s="123"/>
      <c r="C17" s="123"/>
      <c r="D17" s="123"/>
      <c r="E17" s="123"/>
      <c r="F17" s="123"/>
      <c r="G17" s="123"/>
      <c r="H17" s="224"/>
      <c r="I17" s="225"/>
      <c r="J17" s="223"/>
      <c r="K17" s="232" t="s">
        <v>83</v>
      </c>
      <c r="L17" s="227">
        <f>SUM(L10:L16)</f>
        <v>0</v>
      </c>
      <c r="M17" s="230"/>
    </row>
    <row r="18" spans="1:13" ht="15.75" thickBot="1" x14ac:dyDescent="0.25">
      <c r="K18" s="229"/>
      <c r="L18" s="226"/>
      <c r="M18" s="230"/>
    </row>
    <row r="19" spans="1:13" s="101" customFormat="1" ht="20.100000000000001" customHeight="1" thickBot="1" x14ac:dyDescent="0.25">
      <c r="A19" s="319" t="s">
        <v>53</v>
      </c>
      <c r="B19" s="320"/>
      <c r="C19" s="125" t="str">
        <f>Master!$B$15</f>
        <v>Prelim Waltz</v>
      </c>
      <c r="D19" s="126"/>
      <c r="E19" s="126"/>
      <c r="F19" s="113"/>
      <c r="H19" s="103"/>
      <c r="I19" s="103"/>
      <c r="K19" s="231"/>
      <c r="L19" s="102"/>
      <c r="M19" s="228"/>
    </row>
    <row r="20" spans="1:13" s="101" customFormat="1" ht="20.100000000000001" customHeight="1" x14ac:dyDescent="0.2">
      <c r="A20" s="114">
        <v>4</v>
      </c>
      <c r="B20" s="305" t="s">
        <v>174</v>
      </c>
      <c r="C20" s="313"/>
      <c r="D20" s="115"/>
      <c r="E20" s="305" t="s">
        <v>175</v>
      </c>
      <c r="F20" s="306"/>
      <c r="G20" s="260" t="str">
        <f>VLOOKUP($B$1,Lookup!$A$41:$J$44,4,FALSE)</f>
        <v>won</v>
      </c>
      <c r="H20" s="116"/>
      <c r="I20" s="116"/>
      <c r="J20" s="117"/>
      <c r="K20" s="231"/>
      <c r="L20" s="102"/>
      <c r="M20" s="228"/>
    </row>
    <row r="21" spans="1:13" s="101" customFormat="1" ht="20.100000000000001" customHeight="1" x14ac:dyDescent="0.2">
      <c r="A21" s="114">
        <v>5</v>
      </c>
      <c r="B21" s="309" t="s">
        <v>176</v>
      </c>
      <c r="C21" s="311"/>
      <c r="D21" s="118"/>
      <c r="E21" s="309" t="s">
        <v>177</v>
      </c>
      <c r="F21" s="310"/>
      <c r="G21" s="261" t="str">
        <f>VLOOKUP($B$1,Lookup!$A$41:$J$44,5,FALSE)</f>
        <v>won</v>
      </c>
      <c r="H21" s="259"/>
      <c r="I21" s="119"/>
      <c r="J21" s="117"/>
      <c r="K21" s="231"/>
      <c r="L21" s="102">
        <f>IF(H21="y",1,IF(I21="y",2,0))</f>
        <v>0</v>
      </c>
      <c r="M21" s="228"/>
    </row>
    <row r="22" spans="1:13" s="101" customFormat="1" ht="20.100000000000001" customHeight="1" thickBot="1" x14ac:dyDescent="0.25">
      <c r="A22" s="114">
        <v>6</v>
      </c>
      <c r="B22" s="307" t="s">
        <v>178</v>
      </c>
      <c r="C22" s="312"/>
      <c r="D22" s="118"/>
      <c r="E22" s="307" t="s">
        <v>173</v>
      </c>
      <c r="F22" s="308"/>
      <c r="G22" s="262" t="str">
        <f>VLOOKUP($B$1,Lookup!$A$41:$J$44,6,FALSE)</f>
        <v>lost</v>
      </c>
      <c r="H22" s="259"/>
      <c r="I22" s="119"/>
      <c r="J22" s="117"/>
      <c r="K22" s="231"/>
      <c r="L22" s="102">
        <f>IF(H22="y",1,IF(I22="y",2,0))</f>
        <v>0</v>
      </c>
      <c r="M22" s="228"/>
    </row>
    <row r="23" spans="1:13" ht="9.9499999999999993" customHeight="1" thickBot="1" x14ac:dyDescent="0.25">
      <c r="G23" s="241"/>
      <c r="K23" s="229"/>
      <c r="L23" s="226"/>
      <c r="M23" s="230"/>
    </row>
    <row r="24" spans="1:13" s="101" customFormat="1" ht="20.100000000000001" customHeight="1" thickBot="1" x14ac:dyDescent="0.25">
      <c r="A24" s="319" t="s">
        <v>54</v>
      </c>
      <c r="B24" s="320"/>
      <c r="C24" s="125" t="str">
        <f>Master!$B$16</f>
        <v>14 Step</v>
      </c>
      <c r="D24" s="126"/>
      <c r="E24" s="126"/>
      <c r="F24" s="113"/>
      <c r="G24" s="241"/>
      <c r="H24" s="103"/>
      <c r="I24" s="103"/>
      <c r="K24" s="231"/>
      <c r="L24" s="102"/>
      <c r="M24" s="228"/>
    </row>
    <row r="25" spans="1:13" s="101" customFormat="1" ht="20.100000000000001" customHeight="1" x14ac:dyDescent="0.2">
      <c r="A25" s="114">
        <v>7</v>
      </c>
      <c r="B25" s="307" t="s">
        <v>179</v>
      </c>
      <c r="C25" s="312"/>
      <c r="D25" s="115"/>
      <c r="E25" s="307" t="s">
        <v>180</v>
      </c>
      <c r="F25" s="308"/>
      <c r="G25" s="260" t="str">
        <f>VLOOKUP($B$1,Lookup!$A$41:$J$44,7,FALSE)</f>
        <v>lost</v>
      </c>
      <c r="H25" s="259"/>
      <c r="I25" s="119"/>
      <c r="J25" s="117"/>
      <c r="K25" s="231"/>
      <c r="L25" s="102">
        <f>IF(H25="y",1,IF(I25="y",2,0))</f>
        <v>0</v>
      </c>
      <c r="M25" s="228"/>
    </row>
    <row r="26" spans="1:13" s="101" customFormat="1" ht="20.100000000000001" customHeight="1" x14ac:dyDescent="0.2">
      <c r="A26" s="114">
        <v>8</v>
      </c>
      <c r="B26" s="309" t="s">
        <v>219</v>
      </c>
      <c r="C26" s="311"/>
      <c r="D26" s="118"/>
      <c r="E26" s="309" t="s">
        <v>169</v>
      </c>
      <c r="F26" s="310"/>
      <c r="G26" s="261" t="str">
        <f>VLOOKUP($B$1,Lookup!$A$41:$J$44,8,FALSE)</f>
        <v>won</v>
      </c>
      <c r="H26" s="259"/>
      <c r="I26" s="119"/>
      <c r="J26" s="117"/>
      <c r="K26" s="231"/>
      <c r="L26" s="102">
        <f>IF(H26="y",1,IF(I26="y",2,0))</f>
        <v>0</v>
      </c>
      <c r="M26" s="228"/>
    </row>
    <row r="27" spans="1:13" s="101" customFormat="1" ht="20.100000000000001" customHeight="1" thickBot="1" x14ac:dyDescent="0.25">
      <c r="A27" s="114">
        <v>9</v>
      </c>
      <c r="B27" s="307" t="s">
        <v>181</v>
      </c>
      <c r="C27" s="312"/>
      <c r="D27" s="118"/>
      <c r="E27" s="307" t="s">
        <v>182</v>
      </c>
      <c r="F27" s="308"/>
      <c r="G27" s="262" t="str">
        <f>VLOOKUP($B$1,Lookup!$A$41:$J$44,9,FALSE)</f>
        <v>won</v>
      </c>
      <c r="H27" s="259"/>
      <c r="I27" s="119"/>
      <c r="J27" s="117"/>
      <c r="K27" s="231"/>
      <c r="L27" s="102">
        <f>IF(H27="y",1,IF(I27="y",2,0))</f>
        <v>0</v>
      </c>
      <c r="M27" s="228"/>
    </row>
    <row r="28" spans="1:13" ht="20.100000000000001" customHeight="1" x14ac:dyDescent="0.2">
      <c r="A28" s="123"/>
      <c r="B28" s="123"/>
      <c r="C28" s="123"/>
      <c r="D28" s="123"/>
      <c r="E28" s="123"/>
      <c r="F28" s="123"/>
      <c r="G28" s="123"/>
      <c r="H28" s="124"/>
      <c r="I28" s="124"/>
      <c r="K28" s="232" t="s">
        <v>83</v>
      </c>
      <c r="L28" s="227">
        <f>SUM(L21:L27)</f>
        <v>0</v>
      </c>
      <c r="M28" s="230"/>
    </row>
    <row r="29" spans="1:13" ht="15.75" thickBot="1" x14ac:dyDescent="0.25">
      <c r="K29" s="229"/>
      <c r="L29" s="226"/>
      <c r="M29" s="230"/>
    </row>
    <row r="30" spans="1:13" s="101" customFormat="1" ht="20.100000000000001" customHeight="1" thickBot="1" x14ac:dyDescent="0.25">
      <c r="A30" s="314" t="s">
        <v>55</v>
      </c>
      <c r="B30" s="315"/>
      <c r="C30" s="127" t="str">
        <f>Master!$B$21</f>
        <v>Blues</v>
      </c>
      <c r="D30" s="128"/>
      <c r="E30" s="128"/>
      <c r="F30" s="113"/>
      <c r="H30" s="103"/>
      <c r="I30" s="103"/>
      <c r="K30" s="231"/>
      <c r="L30" s="102"/>
      <c r="M30" s="228"/>
    </row>
    <row r="31" spans="1:13" s="101" customFormat="1" ht="20.100000000000001" customHeight="1" x14ac:dyDescent="0.2">
      <c r="A31" s="114">
        <v>10</v>
      </c>
      <c r="B31" s="305" t="s">
        <v>179</v>
      </c>
      <c r="C31" s="313"/>
      <c r="D31" s="115"/>
      <c r="E31" s="305" t="s">
        <v>116</v>
      </c>
      <c r="F31" s="306"/>
      <c r="G31" s="260" t="str">
        <f>VLOOKUP($B$1,Lookup!$A$49:$J$52,4,FALSE)</f>
        <v>lost</v>
      </c>
      <c r="H31" s="116"/>
      <c r="I31" s="116"/>
      <c r="J31" s="117"/>
      <c r="K31" s="231"/>
      <c r="L31" s="102"/>
      <c r="M31" s="228"/>
    </row>
    <row r="32" spans="1:13" s="101" customFormat="1" ht="20.100000000000001" customHeight="1" x14ac:dyDescent="0.2">
      <c r="A32" s="114">
        <v>11</v>
      </c>
      <c r="B32" s="309" t="s">
        <v>174</v>
      </c>
      <c r="C32" s="311"/>
      <c r="D32" s="118"/>
      <c r="E32" s="309" t="s">
        <v>175</v>
      </c>
      <c r="F32" s="310"/>
      <c r="G32" s="261" t="str">
        <f>VLOOKUP($B$1,Lookup!$A$49:$J$52,5,FALSE)</f>
        <v>won</v>
      </c>
      <c r="H32" s="259"/>
      <c r="I32" s="119"/>
      <c r="J32" s="117"/>
      <c r="K32" s="231"/>
      <c r="L32" s="102">
        <f>IF(H32="y",1,IF(I32="y",2,0))</f>
        <v>0</v>
      </c>
      <c r="M32" s="228"/>
    </row>
    <row r="33" spans="1:13" s="101" customFormat="1" ht="20.100000000000001" customHeight="1" thickBot="1" x14ac:dyDescent="0.25">
      <c r="A33" s="114">
        <v>12</v>
      </c>
      <c r="B33" s="307" t="s">
        <v>210</v>
      </c>
      <c r="C33" s="312"/>
      <c r="D33" s="118"/>
      <c r="E33" s="307" t="s">
        <v>116</v>
      </c>
      <c r="F33" s="308"/>
      <c r="G33" s="262" t="str">
        <f>VLOOKUP($B$1,Lookup!$A$49:$J$52,6,FALSE)</f>
        <v>lost</v>
      </c>
      <c r="H33" s="259" t="s">
        <v>81</v>
      </c>
      <c r="I33" s="119"/>
      <c r="J33" s="117"/>
      <c r="K33" s="231"/>
      <c r="L33" s="102">
        <f>IF(H33="y",1,IF(I33="y",2,0))</f>
        <v>1</v>
      </c>
      <c r="M33" s="228"/>
    </row>
    <row r="34" spans="1:13" ht="9.9499999999999993" customHeight="1" thickBot="1" x14ac:dyDescent="0.25">
      <c r="G34" s="241"/>
      <c r="K34" s="229"/>
      <c r="L34" s="226"/>
      <c r="M34" s="230"/>
    </row>
    <row r="35" spans="1:13" s="101" customFormat="1" ht="20.100000000000001" customHeight="1" thickBot="1" x14ac:dyDescent="0.25">
      <c r="A35" s="314" t="s">
        <v>56</v>
      </c>
      <c r="B35" s="315"/>
      <c r="C35" s="127" t="str">
        <f>Master!$B$22</f>
        <v>Starlight Waltz</v>
      </c>
      <c r="D35" s="128"/>
      <c r="E35" s="128"/>
      <c r="F35" s="113"/>
      <c r="G35" s="241"/>
      <c r="H35" s="103"/>
      <c r="I35" s="103"/>
      <c r="K35" s="231"/>
      <c r="L35" s="102"/>
      <c r="M35" s="228"/>
    </row>
    <row r="36" spans="1:13" s="101" customFormat="1" ht="20.100000000000001" customHeight="1" x14ac:dyDescent="0.2">
      <c r="A36" s="114">
        <v>13</v>
      </c>
      <c r="B36" s="307" t="s">
        <v>183</v>
      </c>
      <c r="C36" s="312"/>
      <c r="D36" s="115"/>
      <c r="E36" s="307" t="s">
        <v>116</v>
      </c>
      <c r="F36" s="308"/>
      <c r="G36" s="260" t="str">
        <f>VLOOKUP($B$1,Lookup!$A$49:$J$52,7,FALSE)</f>
        <v>lost</v>
      </c>
      <c r="H36" s="259" t="s">
        <v>81</v>
      </c>
      <c r="I36" s="119"/>
      <c r="J36" s="117"/>
      <c r="K36" s="231"/>
      <c r="L36" s="102">
        <f>IF(H36="y",1,IF(I36="y",2,0))</f>
        <v>1</v>
      </c>
      <c r="M36" s="228"/>
    </row>
    <row r="37" spans="1:13" s="101" customFormat="1" ht="20.100000000000001" customHeight="1" x14ac:dyDescent="0.2">
      <c r="A37" s="114">
        <v>14</v>
      </c>
      <c r="B37" s="309" t="s">
        <v>184</v>
      </c>
      <c r="C37" s="311"/>
      <c r="D37" s="118"/>
      <c r="E37" s="309" t="s">
        <v>185</v>
      </c>
      <c r="F37" s="310"/>
      <c r="G37" s="261" t="str">
        <f>VLOOKUP($B$1,Lookup!$A$49:$J$52,8,FALSE)</f>
        <v>won</v>
      </c>
      <c r="H37" s="259"/>
      <c r="I37" s="119"/>
      <c r="J37" s="117"/>
      <c r="K37" s="231"/>
      <c r="L37" s="102">
        <f>IF(H37="y",1,IF(I37="y",2,0))</f>
        <v>0</v>
      </c>
      <c r="M37" s="228"/>
    </row>
    <row r="38" spans="1:13" s="101" customFormat="1" ht="20.100000000000001" customHeight="1" thickBot="1" x14ac:dyDescent="0.25">
      <c r="A38" s="114">
        <v>15</v>
      </c>
      <c r="B38" s="309" t="s">
        <v>183</v>
      </c>
      <c r="C38" s="311"/>
      <c r="D38" s="118"/>
      <c r="E38" s="309" t="s">
        <v>180</v>
      </c>
      <c r="F38" s="310"/>
      <c r="G38" s="262" t="str">
        <f>VLOOKUP($B$1,Lookup!$A$49:$J$52,9,FALSE)</f>
        <v>lost</v>
      </c>
      <c r="H38" s="259" t="s">
        <v>81</v>
      </c>
      <c r="I38" s="119"/>
      <c r="J38" s="117"/>
      <c r="K38" s="231"/>
      <c r="L38" s="102">
        <f>IF(H38="y",1,IF(I38="y",2,0))</f>
        <v>1</v>
      </c>
      <c r="M38" s="228"/>
    </row>
    <row r="39" spans="1:13" ht="20.100000000000001" customHeight="1" thickBot="1" x14ac:dyDescent="0.25">
      <c r="K39" s="233" t="s">
        <v>83</v>
      </c>
      <c r="L39" s="234">
        <f>SUM(L32:L38)</f>
        <v>3</v>
      </c>
      <c r="M39" s="235"/>
    </row>
  </sheetData>
  <sheetProtection password="CAEF" sheet="1" objects="1" scenarios="1" selectLockedCells="1"/>
  <mergeCells count="48">
    <mergeCell ref="A8:B8"/>
    <mergeCell ref="E14:F14"/>
    <mergeCell ref="E15:F15"/>
    <mergeCell ref="E16:F16"/>
    <mergeCell ref="G3:I3"/>
    <mergeCell ref="G4:I4"/>
    <mergeCell ref="B7:C7"/>
    <mergeCell ref="E7:F7"/>
    <mergeCell ref="B3:D3"/>
    <mergeCell ref="E9:F9"/>
    <mergeCell ref="E10:F10"/>
    <mergeCell ref="B25:C25"/>
    <mergeCell ref="B26:C26"/>
    <mergeCell ref="B21:C21"/>
    <mergeCell ref="K7:M7"/>
    <mergeCell ref="E36:F36"/>
    <mergeCell ref="A19:B19"/>
    <mergeCell ref="A24:B24"/>
    <mergeCell ref="B9:C9"/>
    <mergeCell ref="B10:C10"/>
    <mergeCell ref="B11:C11"/>
    <mergeCell ref="B14:C14"/>
    <mergeCell ref="B15:C15"/>
    <mergeCell ref="B16:C16"/>
    <mergeCell ref="A13:B13"/>
    <mergeCell ref="B20:C20"/>
    <mergeCell ref="B22:C22"/>
    <mergeCell ref="E31:F31"/>
    <mergeCell ref="E32:F32"/>
    <mergeCell ref="E26:F26"/>
    <mergeCell ref="E21:F21"/>
    <mergeCell ref="E25:F25"/>
    <mergeCell ref="E20:F20"/>
    <mergeCell ref="E11:F11"/>
    <mergeCell ref="E38:F38"/>
    <mergeCell ref="E33:F33"/>
    <mergeCell ref="B38:C38"/>
    <mergeCell ref="B27:C27"/>
    <mergeCell ref="B31:C31"/>
    <mergeCell ref="B32:C32"/>
    <mergeCell ref="B33:C33"/>
    <mergeCell ref="E27:F27"/>
    <mergeCell ref="A30:B30"/>
    <mergeCell ref="B36:C36"/>
    <mergeCell ref="B37:C37"/>
    <mergeCell ref="A35:B35"/>
    <mergeCell ref="E37:F37"/>
    <mergeCell ref="E22:F22"/>
  </mergeCells>
  <phoneticPr fontId="8" type="noConversion"/>
  <conditionalFormatting sqref="G20:G27 G9:G16 G31:G38">
    <cfRule type="cellIs" dxfId="28" priority="1" stopIfTrue="1" operator="equal">
      <formula>"won"</formula>
    </cfRule>
    <cfRule type="cellIs" dxfId="27" priority="2" stopIfTrue="1" operator="equal">
      <formula>"drew"</formula>
    </cfRule>
  </conditionalFormatting>
  <dataValidations count="1">
    <dataValidation type="list" allowBlank="1" showInputMessage="1" showErrorMessage="1" sqref="H10:I11 H14:I16 H21:I22 H25:I27 H32:I33 H36:I38">
      <formula1>$K$10:$K$11</formula1>
    </dataValidation>
  </dataValidations>
  <printOptions horizontalCentered="1"/>
  <pageMargins left="0.31496062992125984" right="0.31496062992125984" top="0.98425196850393704" bottom="0.11811023622047245" header="0.59055118110236227" footer="0.11811023622047245"/>
  <pageSetup paperSize="9" scale="93" orientation="portrait" horizontalDpi="300" verticalDpi="300" r:id="rId1"/>
  <headerFooter alignWithMargins="0">
    <oddHeader>&amp;C&amp;"Arial,Bold"&amp;22RIDL Final - Team Sheet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M39"/>
  <sheetViews>
    <sheetView showGridLines="0" showRowColHeaders="0" zoomScale="70" zoomScaleNormal="70" workbookViewId="0">
      <selection activeCell="E38" sqref="E38:F38"/>
    </sheetView>
  </sheetViews>
  <sheetFormatPr defaultColWidth="11.42578125" defaultRowHeight="15" x14ac:dyDescent="0.2"/>
  <cols>
    <col min="1" max="1" width="15" style="121" customWidth="1"/>
    <col min="2" max="3" width="13.85546875" style="121" customWidth="1"/>
    <col min="4" max="4" width="1.85546875" style="121" customWidth="1"/>
    <col min="5" max="6" width="13.85546875" style="121" customWidth="1"/>
    <col min="7" max="7" width="8.85546875" style="121" customWidth="1"/>
    <col min="8" max="9" width="10" style="122" customWidth="1"/>
    <col min="10" max="10" width="10" style="121" customWidth="1"/>
    <col min="11" max="16384" width="11.42578125" style="121"/>
  </cols>
  <sheetData>
    <row r="1" spans="1:13" s="99" customFormat="1" ht="23.25" x14ac:dyDescent="0.2">
      <c r="A1" s="97" t="s">
        <v>80</v>
      </c>
      <c r="B1" s="100" t="str">
        <f>IF(Master!A27="","",Master!A27)</f>
        <v>B</v>
      </c>
      <c r="C1" s="97" t="str">
        <f>IF(Master!B27="","",Master!B27)</f>
        <v>South Central</v>
      </c>
      <c r="D1" s="98"/>
      <c r="G1" s="100"/>
      <c r="H1" s="100"/>
      <c r="I1" s="100"/>
      <c r="J1" s="100"/>
    </row>
    <row r="2" spans="1:13" s="101" customFormat="1" ht="20.100000000000001" customHeight="1" x14ac:dyDescent="0.2">
      <c r="B2" s="102"/>
      <c r="H2" s="103"/>
      <c r="I2" s="103"/>
    </row>
    <row r="3" spans="1:13" s="101" customFormat="1" ht="20.100000000000001" customHeight="1" x14ac:dyDescent="0.2">
      <c r="A3" s="104" t="s">
        <v>44</v>
      </c>
      <c r="B3" s="327" t="s">
        <v>142</v>
      </c>
      <c r="C3" s="328"/>
      <c r="D3" s="329"/>
      <c r="F3" s="105" t="s">
        <v>27</v>
      </c>
      <c r="G3" s="323" t="str">
        <f>Master!$B$3</f>
        <v>Solihull</v>
      </c>
      <c r="H3" s="324"/>
      <c r="I3" s="325"/>
    </row>
    <row r="4" spans="1:13" s="101" customFormat="1" ht="20.100000000000001" customHeight="1" x14ac:dyDescent="0.2">
      <c r="F4" s="105" t="s">
        <v>28</v>
      </c>
      <c r="G4" s="323" t="str">
        <f>Master!$B$4</f>
        <v>10th September 2016</v>
      </c>
      <c r="H4" s="324"/>
      <c r="I4" s="325"/>
    </row>
    <row r="5" spans="1:13" s="101" customFormat="1" ht="20.100000000000001" customHeight="1" x14ac:dyDescent="0.2">
      <c r="F5" s="105" t="s">
        <v>29</v>
      </c>
      <c r="G5" s="106" t="str">
        <f>Master!$B$5</f>
        <v>4:15 - 7:45pm</v>
      </c>
      <c r="H5" s="107"/>
      <c r="I5" s="108"/>
    </row>
    <row r="6" spans="1:13" s="101" customFormat="1" ht="20.100000000000001" customHeight="1" thickBot="1" x14ac:dyDescent="0.25">
      <c r="A6" s="109"/>
      <c r="B6" s="110"/>
      <c r="C6" s="110"/>
      <c r="D6" s="110"/>
      <c r="H6" s="103"/>
      <c r="I6" s="103"/>
    </row>
    <row r="7" spans="1:13" s="101" customFormat="1" ht="20.100000000000001" customHeight="1" thickBot="1" x14ac:dyDescent="0.25">
      <c r="A7" s="101" t="s">
        <v>45</v>
      </c>
      <c r="B7" s="326" t="s">
        <v>46</v>
      </c>
      <c r="C7" s="326"/>
      <c r="E7" s="326" t="s">
        <v>47</v>
      </c>
      <c r="F7" s="326"/>
      <c r="G7" s="103" t="s">
        <v>12</v>
      </c>
      <c r="H7" s="103" t="s">
        <v>48</v>
      </c>
      <c r="I7" s="103" t="s">
        <v>48</v>
      </c>
      <c r="K7" s="316" t="s">
        <v>84</v>
      </c>
      <c r="L7" s="317"/>
      <c r="M7" s="318"/>
    </row>
    <row r="8" spans="1:13" s="101" customFormat="1" ht="20.100000000000001" customHeight="1" thickBot="1" x14ac:dyDescent="0.25">
      <c r="A8" s="321" t="s">
        <v>49</v>
      </c>
      <c r="B8" s="322"/>
      <c r="C8" s="111" t="str">
        <f>Master!$B$9</f>
        <v>Golden Skaters Waltz</v>
      </c>
      <c r="D8" s="112"/>
      <c r="E8" s="112"/>
      <c r="F8" s="113"/>
      <c r="H8" s="103" t="s">
        <v>50</v>
      </c>
      <c r="I8" s="103" t="s">
        <v>51</v>
      </c>
      <c r="K8" s="236" t="s">
        <v>85</v>
      </c>
      <c r="L8" s="102"/>
      <c r="M8" s="228"/>
    </row>
    <row r="9" spans="1:13" s="101" customFormat="1" ht="20.100000000000001" customHeight="1" x14ac:dyDescent="0.2">
      <c r="A9" s="114">
        <v>1</v>
      </c>
      <c r="B9" s="330" t="s">
        <v>143</v>
      </c>
      <c r="C9" s="331"/>
      <c r="D9" s="115"/>
      <c r="E9" s="330" t="s">
        <v>144</v>
      </c>
      <c r="F9" s="332"/>
      <c r="G9" s="260" t="str">
        <f>VLOOKUP(B$1,Lookup!$A$33:$J$36,4,FALSE)</f>
        <v>lost</v>
      </c>
      <c r="H9" s="116"/>
      <c r="I9" s="116"/>
      <c r="J9" s="117"/>
      <c r="K9" s="237" t="s">
        <v>82</v>
      </c>
      <c r="L9" s="102" t="s">
        <v>86</v>
      </c>
      <c r="M9" s="228"/>
    </row>
    <row r="10" spans="1:13" s="101" customFormat="1" ht="20.100000000000001" customHeight="1" x14ac:dyDescent="0.2">
      <c r="A10" s="114">
        <v>2</v>
      </c>
      <c r="B10" s="309" t="s">
        <v>145</v>
      </c>
      <c r="C10" s="311"/>
      <c r="D10" s="118"/>
      <c r="E10" s="309" t="s">
        <v>146</v>
      </c>
      <c r="F10" s="334"/>
      <c r="G10" s="261" t="str">
        <f>VLOOKUP(B$1,Lookup!$A$33:$J$36,5,FALSE)</f>
        <v>lost</v>
      </c>
      <c r="H10" s="259"/>
      <c r="I10" s="119"/>
      <c r="J10" s="120" t="s">
        <v>78</v>
      </c>
      <c r="K10" s="237" t="s">
        <v>78</v>
      </c>
      <c r="L10" s="102">
        <f>IF(H10="y",1,IF(I10="y",2,0))</f>
        <v>0</v>
      </c>
      <c r="M10" s="228"/>
    </row>
    <row r="11" spans="1:13" s="101" customFormat="1" ht="20.100000000000001" customHeight="1" thickBot="1" x14ac:dyDescent="0.25">
      <c r="A11" s="114">
        <v>3</v>
      </c>
      <c r="B11" s="309" t="s">
        <v>147</v>
      </c>
      <c r="C11" s="311"/>
      <c r="D11" s="118"/>
      <c r="E11" s="309" t="s">
        <v>144</v>
      </c>
      <c r="F11" s="334"/>
      <c r="G11" s="262" t="str">
        <f>VLOOKUP(B$1,Lookup!$A$33:$J$36,6,FALSE)</f>
        <v>lost</v>
      </c>
      <c r="H11" s="259" t="s">
        <v>81</v>
      </c>
      <c r="I11" s="119"/>
      <c r="J11" s="117"/>
      <c r="K11" s="238" t="s">
        <v>81</v>
      </c>
      <c r="L11" s="102">
        <f>IF(H11="y",1,IF(I11="y",2,0))</f>
        <v>1</v>
      </c>
      <c r="M11" s="228"/>
    </row>
    <row r="12" spans="1:13" ht="9.9499999999999993" customHeight="1" thickBot="1" x14ac:dyDescent="0.25">
      <c r="G12" s="241"/>
      <c r="K12" s="229"/>
      <c r="L12" s="226"/>
      <c r="M12" s="230"/>
    </row>
    <row r="13" spans="1:13" s="101" customFormat="1" ht="20.100000000000001" customHeight="1" thickBot="1" x14ac:dyDescent="0.25">
      <c r="A13" s="321" t="s">
        <v>52</v>
      </c>
      <c r="B13" s="322"/>
      <c r="C13" s="111" t="str">
        <f>Master!$B$10</f>
        <v>Riverside Rhumba</v>
      </c>
      <c r="D13" s="112"/>
      <c r="E13" s="112"/>
      <c r="F13" s="113"/>
      <c r="G13" s="241"/>
      <c r="H13" s="103"/>
      <c r="I13" s="103"/>
      <c r="K13" s="231"/>
      <c r="L13" s="102"/>
      <c r="M13" s="228"/>
    </row>
    <row r="14" spans="1:13" s="101" customFormat="1" ht="20.100000000000001" customHeight="1" x14ac:dyDescent="0.2">
      <c r="A14" s="114">
        <v>1</v>
      </c>
      <c r="B14" s="330" t="s">
        <v>148</v>
      </c>
      <c r="C14" s="331"/>
      <c r="D14" s="115"/>
      <c r="E14" s="330" t="s">
        <v>142</v>
      </c>
      <c r="F14" s="332"/>
      <c r="G14" s="260" t="str">
        <f>VLOOKUP(B$1,Lookup!$A$33:$J$36,7,FALSE)</f>
        <v>won</v>
      </c>
      <c r="H14" s="259"/>
      <c r="I14" s="119"/>
      <c r="J14" s="117"/>
      <c r="K14" s="231"/>
      <c r="L14" s="102">
        <f>IF(H14="y",1,IF(I14="y",2,0))</f>
        <v>0</v>
      </c>
      <c r="M14" s="228"/>
    </row>
    <row r="15" spans="1:13" s="101" customFormat="1" ht="20.100000000000001" customHeight="1" x14ac:dyDescent="0.2">
      <c r="A15" s="114">
        <v>2</v>
      </c>
      <c r="B15" s="309" t="s">
        <v>149</v>
      </c>
      <c r="C15" s="311"/>
      <c r="D15" s="118"/>
      <c r="E15" s="309" t="s">
        <v>213</v>
      </c>
      <c r="F15" s="334"/>
      <c r="G15" s="261" t="str">
        <f>VLOOKUP(B$1,Lookup!$A$33:$J$36,8,FALSE)</f>
        <v>lost</v>
      </c>
      <c r="H15" s="259"/>
      <c r="I15" s="119"/>
      <c r="J15" s="117"/>
      <c r="K15" s="231"/>
      <c r="L15" s="102">
        <f>IF(H15="y",1,IF(I15="y",2,0))</f>
        <v>0</v>
      </c>
      <c r="M15" s="228"/>
    </row>
    <row r="16" spans="1:13" s="101" customFormat="1" ht="20.100000000000001" customHeight="1" thickBot="1" x14ac:dyDescent="0.25">
      <c r="A16" s="114">
        <v>3</v>
      </c>
      <c r="B16" s="309" t="s">
        <v>150</v>
      </c>
      <c r="C16" s="311"/>
      <c r="D16" s="118"/>
      <c r="E16" s="309" t="s">
        <v>142</v>
      </c>
      <c r="F16" s="334"/>
      <c r="G16" s="262" t="str">
        <f>VLOOKUP(B$1,Lookup!$A$33:$J$36,9,FALSE)</f>
        <v>won</v>
      </c>
      <c r="H16" s="259" t="s">
        <v>81</v>
      </c>
      <c r="I16" s="119"/>
      <c r="J16" s="117"/>
      <c r="K16" s="231"/>
      <c r="L16" s="102">
        <f>IF(H16="y",1,IF(I16="y",2,0))</f>
        <v>1</v>
      </c>
      <c r="M16" s="228"/>
    </row>
    <row r="17" spans="1:13" ht="18" x14ac:dyDescent="0.2">
      <c r="A17" s="123"/>
      <c r="B17" s="123"/>
      <c r="C17" s="123"/>
      <c r="D17" s="123"/>
      <c r="E17" s="123"/>
      <c r="F17" s="123"/>
      <c r="G17" s="123"/>
      <c r="H17" s="124"/>
      <c r="I17" s="124"/>
      <c r="K17" s="232" t="s">
        <v>83</v>
      </c>
      <c r="L17" s="227">
        <f>SUM(L10:L16)</f>
        <v>2</v>
      </c>
      <c r="M17" s="230"/>
    </row>
    <row r="18" spans="1:13" ht="15.75" thickBot="1" x14ac:dyDescent="0.25">
      <c r="K18" s="229"/>
      <c r="L18" s="226"/>
      <c r="M18" s="230"/>
    </row>
    <row r="19" spans="1:13" s="101" customFormat="1" ht="20.100000000000001" customHeight="1" thickBot="1" x14ac:dyDescent="0.25">
      <c r="A19" s="319" t="s">
        <v>53</v>
      </c>
      <c r="B19" s="320"/>
      <c r="C19" s="125" t="str">
        <f>Master!$B$15</f>
        <v>Prelim Waltz</v>
      </c>
      <c r="D19" s="126"/>
      <c r="E19" s="126"/>
      <c r="F19" s="113"/>
      <c r="H19" s="103"/>
      <c r="I19" s="103"/>
      <c r="K19" s="231"/>
      <c r="L19" s="102"/>
      <c r="M19" s="228"/>
    </row>
    <row r="20" spans="1:13" s="101" customFormat="1" ht="20.100000000000001" customHeight="1" x14ac:dyDescent="0.2">
      <c r="A20" s="114">
        <v>4</v>
      </c>
      <c r="B20" s="330" t="s">
        <v>151</v>
      </c>
      <c r="C20" s="331"/>
      <c r="D20" s="115"/>
      <c r="E20" s="309" t="s">
        <v>142</v>
      </c>
      <c r="F20" s="334"/>
      <c r="G20" s="260" t="str">
        <f>VLOOKUP($B$1,Lookup!$A$41:$J$44,4,FALSE)</f>
        <v>won</v>
      </c>
      <c r="H20" s="116"/>
      <c r="I20" s="116"/>
      <c r="J20" s="117"/>
      <c r="K20" s="231"/>
      <c r="L20" s="102"/>
      <c r="M20" s="228"/>
    </row>
    <row r="21" spans="1:13" s="101" customFormat="1" ht="20.100000000000001" customHeight="1" x14ac:dyDescent="0.2">
      <c r="A21" s="114">
        <v>5</v>
      </c>
      <c r="B21" s="309" t="s">
        <v>152</v>
      </c>
      <c r="C21" s="311"/>
      <c r="D21" s="118"/>
      <c r="E21" s="309" t="s">
        <v>144</v>
      </c>
      <c r="F21" s="334"/>
      <c r="G21" s="261" t="str">
        <f>VLOOKUP($B$1,Lookup!$A$41:$J$44,5,FALSE)</f>
        <v>lost</v>
      </c>
      <c r="H21" s="259"/>
      <c r="I21" s="119"/>
      <c r="J21" s="117"/>
      <c r="K21" s="231"/>
      <c r="L21" s="102">
        <f>IF(H21="y",1,IF(I21="y",2,0))</f>
        <v>0</v>
      </c>
      <c r="M21" s="228"/>
    </row>
    <row r="22" spans="1:13" s="101" customFormat="1" ht="20.100000000000001" customHeight="1" thickBot="1" x14ac:dyDescent="0.25">
      <c r="A22" s="114">
        <v>6</v>
      </c>
      <c r="B22" s="309" t="s">
        <v>153</v>
      </c>
      <c r="C22" s="311"/>
      <c r="D22" s="118"/>
      <c r="E22" s="309" t="s">
        <v>146</v>
      </c>
      <c r="F22" s="334"/>
      <c r="G22" s="262" t="str">
        <f>VLOOKUP($B$1,Lookup!$A$41:$J$44,6,FALSE)</f>
        <v>won</v>
      </c>
      <c r="H22" s="259"/>
      <c r="I22" s="119"/>
      <c r="J22" s="117"/>
      <c r="K22" s="231"/>
      <c r="L22" s="102">
        <f>IF(H22="y",1,IF(I22="y",2,0))</f>
        <v>0</v>
      </c>
      <c r="M22" s="228"/>
    </row>
    <row r="23" spans="1:13" ht="9.9499999999999993" customHeight="1" thickBot="1" x14ac:dyDescent="0.25">
      <c r="G23" s="241"/>
      <c r="K23" s="229"/>
      <c r="L23" s="226"/>
      <c r="M23" s="230"/>
    </row>
    <row r="24" spans="1:13" s="101" customFormat="1" ht="20.100000000000001" customHeight="1" thickBot="1" x14ac:dyDescent="0.25">
      <c r="A24" s="319" t="s">
        <v>54</v>
      </c>
      <c r="B24" s="320"/>
      <c r="C24" s="125" t="str">
        <f>Master!$B$16</f>
        <v>14 Step</v>
      </c>
      <c r="D24" s="126"/>
      <c r="E24" s="126"/>
      <c r="F24" s="113"/>
      <c r="G24" s="241"/>
      <c r="H24" s="103"/>
      <c r="I24" s="103"/>
      <c r="K24" s="231"/>
      <c r="L24" s="102"/>
      <c r="M24" s="228"/>
    </row>
    <row r="25" spans="1:13" s="101" customFormat="1" ht="20.100000000000001" customHeight="1" x14ac:dyDescent="0.2">
      <c r="A25" s="114">
        <v>7</v>
      </c>
      <c r="B25" s="330" t="s">
        <v>154</v>
      </c>
      <c r="C25" s="331"/>
      <c r="D25" s="115"/>
      <c r="E25" s="330" t="s">
        <v>155</v>
      </c>
      <c r="F25" s="332"/>
      <c r="G25" s="260" t="str">
        <f>VLOOKUP($B$1,Lookup!$A$41:$J$44,7,FALSE)</f>
        <v>won</v>
      </c>
      <c r="H25" s="259"/>
      <c r="I25" s="119"/>
      <c r="J25" s="117"/>
      <c r="K25" s="231"/>
      <c r="L25" s="102">
        <f>IF(H25="y",1,IF(I25="y",2,0))</f>
        <v>0</v>
      </c>
      <c r="M25" s="228"/>
    </row>
    <row r="26" spans="1:13" s="101" customFormat="1" ht="20.100000000000001" customHeight="1" x14ac:dyDescent="0.2">
      <c r="A26" s="114">
        <v>8</v>
      </c>
      <c r="B26" s="309" t="s">
        <v>156</v>
      </c>
      <c r="C26" s="311"/>
      <c r="D26" s="118"/>
      <c r="E26" s="309" t="s">
        <v>142</v>
      </c>
      <c r="F26" s="334"/>
      <c r="G26" s="261" t="str">
        <f>VLOOKUP($B$1,Lookup!$A$41:$J$44,8,FALSE)</f>
        <v>won</v>
      </c>
      <c r="H26" s="259" t="s">
        <v>81</v>
      </c>
      <c r="I26" s="119"/>
      <c r="J26" s="117"/>
      <c r="K26" s="231"/>
      <c r="L26" s="102">
        <f>IF(H26="y",1,IF(I26="y",2,0))</f>
        <v>1</v>
      </c>
      <c r="M26" s="228"/>
    </row>
    <row r="27" spans="1:13" s="101" customFormat="1" ht="20.100000000000001" customHeight="1" thickBot="1" x14ac:dyDescent="0.25">
      <c r="A27" s="114">
        <v>9</v>
      </c>
      <c r="B27" s="309" t="s">
        <v>157</v>
      </c>
      <c r="C27" s="311"/>
      <c r="D27" s="118"/>
      <c r="E27" s="309" t="s">
        <v>144</v>
      </c>
      <c r="F27" s="334"/>
      <c r="G27" s="262" t="str">
        <f>VLOOKUP($B$1,Lookup!$A$41:$J$44,9,FALSE)</f>
        <v>lost</v>
      </c>
      <c r="H27" s="259" t="s">
        <v>81</v>
      </c>
      <c r="I27" s="119"/>
      <c r="J27" s="117"/>
      <c r="K27" s="231"/>
      <c r="L27" s="102">
        <f>IF(H27="y",1,IF(I27="y",2,0))</f>
        <v>1</v>
      </c>
      <c r="M27" s="228"/>
    </row>
    <row r="28" spans="1:13" ht="18" x14ac:dyDescent="0.2">
      <c r="A28" s="123"/>
      <c r="B28" s="123"/>
      <c r="C28" s="123"/>
      <c r="D28" s="123"/>
      <c r="E28" s="123"/>
      <c r="F28" s="123"/>
      <c r="G28" s="123"/>
      <c r="H28" s="124"/>
      <c r="I28" s="124"/>
      <c r="K28" s="232" t="s">
        <v>83</v>
      </c>
      <c r="L28" s="227">
        <f>SUM(L21:L27)</f>
        <v>2</v>
      </c>
      <c r="M28" s="230"/>
    </row>
    <row r="29" spans="1:13" ht="15.75" thickBot="1" x14ac:dyDescent="0.25">
      <c r="K29" s="229"/>
      <c r="L29" s="226"/>
      <c r="M29" s="230"/>
    </row>
    <row r="30" spans="1:13" s="101" customFormat="1" ht="20.100000000000001" customHeight="1" thickBot="1" x14ac:dyDescent="0.25">
      <c r="A30" s="314" t="s">
        <v>55</v>
      </c>
      <c r="B30" s="315"/>
      <c r="C30" s="127" t="str">
        <f>Master!$B$21</f>
        <v>Blues</v>
      </c>
      <c r="D30" s="128"/>
      <c r="E30" s="128"/>
      <c r="F30" s="113"/>
      <c r="H30" s="103"/>
      <c r="I30" s="103"/>
      <c r="K30" s="231"/>
      <c r="L30" s="102"/>
      <c r="M30" s="228"/>
    </row>
    <row r="31" spans="1:13" s="101" customFormat="1" ht="20.100000000000001" customHeight="1" thickBot="1" x14ac:dyDescent="0.25">
      <c r="A31" s="114">
        <v>10</v>
      </c>
      <c r="B31" s="330" t="s">
        <v>158</v>
      </c>
      <c r="C31" s="331"/>
      <c r="D31" s="115"/>
      <c r="E31" s="330" t="s">
        <v>155</v>
      </c>
      <c r="F31" s="332"/>
      <c r="G31" s="260" t="str">
        <f>VLOOKUP($B$1,Lookup!$A$49:$J$52,4,FALSE)</f>
        <v>won</v>
      </c>
      <c r="H31" s="116"/>
      <c r="I31" s="116"/>
      <c r="J31" s="117"/>
      <c r="K31" s="231"/>
      <c r="L31" s="102"/>
      <c r="M31" s="228"/>
    </row>
    <row r="32" spans="1:13" s="101" customFormat="1" ht="20.100000000000001" customHeight="1" x14ac:dyDescent="0.2">
      <c r="A32" s="114">
        <v>11</v>
      </c>
      <c r="B32" s="309" t="s">
        <v>159</v>
      </c>
      <c r="C32" s="311"/>
      <c r="D32" s="118"/>
      <c r="E32" s="330" t="s">
        <v>146</v>
      </c>
      <c r="F32" s="332"/>
      <c r="G32" s="261" t="str">
        <f>VLOOKUP($B$1,Lookup!$A$49:$J$52,5,FALSE)</f>
        <v>lost</v>
      </c>
      <c r="H32" s="259"/>
      <c r="I32" s="119"/>
      <c r="J32" s="117"/>
      <c r="K32" s="231"/>
      <c r="L32" s="102">
        <f>IF(H32="y",1,IF(I32="y",2,0))</f>
        <v>0</v>
      </c>
      <c r="M32" s="228"/>
    </row>
    <row r="33" spans="1:13" s="101" customFormat="1" ht="20.100000000000001" customHeight="1" thickBot="1" x14ac:dyDescent="0.25">
      <c r="A33" s="114">
        <v>12</v>
      </c>
      <c r="B33" s="309" t="s">
        <v>160</v>
      </c>
      <c r="C33" s="311"/>
      <c r="D33" s="118"/>
      <c r="E33" s="309" t="s">
        <v>155</v>
      </c>
      <c r="F33" s="334"/>
      <c r="G33" s="262" t="str">
        <f>VLOOKUP($B$1,Lookup!$A$49:$J$52,6,FALSE)</f>
        <v>won</v>
      </c>
      <c r="H33" s="259" t="s">
        <v>81</v>
      </c>
      <c r="I33" s="119"/>
      <c r="J33" s="117"/>
      <c r="K33" s="231"/>
      <c r="L33" s="102">
        <f>IF(H33="y",1,IF(I33="y",2,0))</f>
        <v>1</v>
      </c>
      <c r="M33" s="228"/>
    </row>
    <row r="34" spans="1:13" ht="9.9499999999999993" customHeight="1" thickBot="1" x14ac:dyDescent="0.25">
      <c r="G34" s="241"/>
      <c r="K34" s="229"/>
      <c r="L34" s="226"/>
      <c r="M34" s="230"/>
    </row>
    <row r="35" spans="1:13" s="101" customFormat="1" ht="20.100000000000001" customHeight="1" thickBot="1" x14ac:dyDescent="0.25">
      <c r="A35" s="314" t="s">
        <v>56</v>
      </c>
      <c r="B35" s="315"/>
      <c r="C35" s="127" t="str">
        <f>Master!$B$22</f>
        <v>Starlight Waltz</v>
      </c>
      <c r="D35" s="128"/>
      <c r="E35" s="128"/>
      <c r="F35" s="113"/>
      <c r="G35" s="241"/>
      <c r="H35" s="103"/>
      <c r="I35" s="103"/>
      <c r="K35" s="231"/>
      <c r="L35" s="102"/>
      <c r="M35" s="228"/>
    </row>
    <row r="36" spans="1:13" s="101" customFormat="1" ht="20.100000000000001" customHeight="1" x14ac:dyDescent="0.2">
      <c r="A36" s="114">
        <v>13</v>
      </c>
      <c r="B36" s="309" t="s">
        <v>159</v>
      </c>
      <c r="C36" s="311"/>
      <c r="D36" s="115"/>
      <c r="E36" s="330" t="s">
        <v>146</v>
      </c>
      <c r="F36" s="332"/>
      <c r="G36" s="260" t="str">
        <f>VLOOKUP($B$1,Lookup!$A$49:$J$52,7,FALSE)</f>
        <v>won</v>
      </c>
      <c r="H36" s="259"/>
      <c r="I36" s="119" t="s">
        <v>81</v>
      </c>
      <c r="J36" s="117"/>
      <c r="K36" s="231"/>
      <c r="L36" s="102">
        <f>IF(H36="y",1,IF(I36="y",2,0))</f>
        <v>2</v>
      </c>
      <c r="M36" s="228"/>
    </row>
    <row r="37" spans="1:13" s="101" customFormat="1" ht="20.100000000000001" customHeight="1" x14ac:dyDescent="0.2">
      <c r="A37" s="114">
        <v>14</v>
      </c>
      <c r="B37" s="309" t="s">
        <v>214</v>
      </c>
      <c r="C37" s="311"/>
      <c r="D37" s="118"/>
      <c r="E37" s="309" t="s">
        <v>155</v>
      </c>
      <c r="F37" s="334"/>
      <c r="G37" s="261" t="str">
        <f>VLOOKUP($B$1,Lookup!$A$49:$J$52,8,FALSE)</f>
        <v>won</v>
      </c>
      <c r="H37" s="259" t="s">
        <v>81</v>
      </c>
      <c r="I37" s="119"/>
      <c r="J37" s="117"/>
      <c r="K37" s="231"/>
      <c r="L37" s="102">
        <f>IF(H37="y",1,IF(I37="y",2,0))</f>
        <v>1</v>
      </c>
      <c r="M37" s="228"/>
    </row>
    <row r="38" spans="1:13" s="101" customFormat="1" ht="20.100000000000001" customHeight="1" thickBot="1" x14ac:dyDescent="0.25">
      <c r="A38" s="114">
        <v>15</v>
      </c>
      <c r="B38" s="307" t="s">
        <v>214</v>
      </c>
      <c r="C38" s="312"/>
      <c r="D38" s="118"/>
      <c r="E38" s="307" t="s">
        <v>146</v>
      </c>
      <c r="F38" s="333"/>
      <c r="G38" s="262" t="str">
        <f>VLOOKUP($B$1,Lookup!$A$49:$J$52,9,FALSE)</f>
        <v>won</v>
      </c>
      <c r="H38" s="259" t="s">
        <v>81</v>
      </c>
      <c r="I38" s="119"/>
      <c r="J38" s="117"/>
      <c r="K38" s="231"/>
      <c r="L38" s="102">
        <f>IF(H38="y",1,IF(I38="y",2,0))</f>
        <v>1</v>
      </c>
      <c r="M38" s="228"/>
    </row>
    <row r="39" spans="1:13" ht="18.75" thickBot="1" x14ac:dyDescent="0.25">
      <c r="K39" s="233" t="s">
        <v>83</v>
      </c>
      <c r="L39" s="234">
        <f>SUM(L32:L38)</f>
        <v>5</v>
      </c>
      <c r="M39" s="235"/>
    </row>
  </sheetData>
  <sheetProtection password="CAEF" sheet="1" objects="1" scenarios="1" selectLockedCells="1"/>
  <mergeCells count="48">
    <mergeCell ref="A8:B8"/>
    <mergeCell ref="E14:F14"/>
    <mergeCell ref="E15:F15"/>
    <mergeCell ref="E16:F16"/>
    <mergeCell ref="A19:B19"/>
    <mergeCell ref="G3:I3"/>
    <mergeCell ref="G4:I4"/>
    <mergeCell ref="B7:C7"/>
    <mergeCell ref="E7:F7"/>
    <mergeCell ref="B3:D3"/>
    <mergeCell ref="B22:C22"/>
    <mergeCell ref="A24:B24"/>
    <mergeCell ref="B9:C9"/>
    <mergeCell ref="B10:C10"/>
    <mergeCell ref="B11:C11"/>
    <mergeCell ref="B14:C14"/>
    <mergeCell ref="B15:C15"/>
    <mergeCell ref="B20:C20"/>
    <mergeCell ref="B16:C16"/>
    <mergeCell ref="A13:B13"/>
    <mergeCell ref="K7:M7"/>
    <mergeCell ref="E36:F36"/>
    <mergeCell ref="E37:F37"/>
    <mergeCell ref="E9:F9"/>
    <mergeCell ref="E10:F10"/>
    <mergeCell ref="E20:F20"/>
    <mergeCell ref="E31:F31"/>
    <mergeCell ref="E32:F32"/>
    <mergeCell ref="E26:F26"/>
    <mergeCell ref="E21:F21"/>
    <mergeCell ref="E22:F22"/>
    <mergeCell ref="E11:F11"/>
    <mergeCell ref="B25:C25"/>
    <mergeCell ref="B26:C26"/>
    <mergeCell ref="E25:F25"/>
    <mergeCell ref="B21:C21"/>
    <mergeCell ref="E38:F38"/>
    <mergeCell ref="E33:F33"/>
    <mergeCell ref="B38:C38"/>
    <mergeCell ref="B27:C27"/>
    <mergeCell ref="B31:C31"/>
    <mergeCell ref="B32:C32"/>
    <mergeCell ref="B33:C33"/>
    <mergeCell ref="E27:F27"/>
    <mergeCell ref="A30:B30"/>
    <mergeCell ref="B36:C36"/>
    <mergeCell ref="B37:C37"/>
    <mergeCell ref="A35:B35"/>
  </mergeCells>
  <phoneticPr fontId="8" type="noConversion"/>
  <conditionalFormatting sqref="G20:G27 G9:G16 G31:G38">
    <cfRule type="cellIs" dxfId="26" priority="1" stopIfTrue="1" operator="equal">
      <formula>"won"</formula>
    </cfRule>
    <cfRule type="cellIs" dxfId="25" priority="2" stopIfTrue="1" operator="equal">
      <formula>"drew"</formula>
    </cfRule>
  </conditionalFormatting>
  <dataValidations count="1">
    <dataValidation type="list" allowBlank="1" showInputMessage="1" showErrorMessage="1" sqref="H10:I11 H36:I38 H32:I33 H25:I27 H21:I22 H14:I16">
      <formula1>$K$10:$K$11</formula1>
    </dataValidation>
  </dataValidations>
  <printOptions horizontalCentered="1"/>
  <pageMargins left="0.31496062992125984" right="0.31496062992125984" top="0.98425196850393704" bottom="0.11811023622047245" header="0.59055118110236227" footer="0.11811023622047245"/>
  <pageSetup paperSize="9" scale="93" orientation="portrait" horizontalDpi="300" verticalDpi="300" r:id="rId1"/>
  <headerFooter alignWithMargins="0">
    <oddHeader>&amp;C&amp;"Arial,Bold"&amp;22RIDL Final - Team Sheet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M39"/>
  <sheetViews>
    <sheetView showGridLines="0" showRowColHeaders="0" zoomScale="70" zoomScaleNormal="70" workbookViewId="0">
      <selection activeCell="E33" sqref="E33:F33"/>
    </sheetView>
  </sheetViews>
  <sheetFormatPr defaultColWidth="11.42578125" defaultRowHeight="15" x14ac:dyDescent="0.2"/>
  <cols>
    <col min="1" max="1" width="15" style="121" customWidth="1"/>
    <col min="2" max="3" width="13.85546875" style="121" customWidth="1"/>
    <col min="4" max="4" width="1.85546875" style="121" customWidth="1"/>
    <col min="5" max="6" width="13.85546875" style="121" customWidth="1"/>
    <col min="7" max="7" width="8.85546875" style="121" customWidth="1"/>
    <col min="8" max="9" width="10" style="122" customWidth="1"/>
    <col min="10" max="10" width="10" style="121" customWidth="1"/>
    <col min="11" max="16384" width="11.42578125" style="121"/>
  </cols>
  <sheetData>
    <row r="1" spans="1:13" s="99" customFormat="1" ht="23.25" x14ac:dyDescent="0.2">
      <c r="A1" s="97" t="s">
        <v>80</v>
      </c>
      <c r="B1" s="100" t="str">
        <f>IF(Master!A28="","",Master!A28)</f>
        <v>A</v>
      </c>
      <c r="C1" s="97" t="str">
        <f>IF(Master!B28="","",Master!B28)</f>
        <v>South East</v>
      </c>
      <c r="D1" s="98"/>
      <c r="G1" s="100"/>
      <c r="H1" s="100"/>
      <c r="I1" s="100"/>
      <c r="J1" s="100"/>
    </row>
    <row r="2" spans="1:13" s="101" customFormat="1" ht="20.100000000000001" customHeight="1" x14ac:dyDescent="0.2">
      <c r="B2" s="102"/>
      <c r="H2" s="103"/>
      <c r="I2" s="103"/>
    </row>
    <row r="3" spans="1:13" s="101" customFormat="1" ht="20.100000000000001" customHeight="1" x14ac:dyDescent="0.2">
      <c r="A3" s="104" t="s">
        <v>44</v>
      </c>
      <c r="B3" s="327" t="s">
        <v>115</v>
      </c>
      <c r="C3" s="328"/>
      <c r="D3" s="329"/>
      <c r="F3" s="105" t="s">
        <v>27</v>
      </c>
      <c r="G3" s="323" t="str">
        <f>Master!$B$3</f>
        <v>Solihull</v>
      </c>
      <c r="H3" s="324"/>
      <c r="I3" s="325"/>
    </row>
    <row r="4" spans="1:13" s="101" customFormat="1" ht="20.100000000000001" customHeight="1" x14ac:dyDescent="0.2">
      <c r="F4" s="105" t="s">
        <v>28</v>
      </c>
      <c r="G4" s="323" t="str">
        <f>Master!$B$4</f>
        <v>10th September 2016</v>
      </c>
      <c r="H4" s="324"/>
      <c r="I4" s="325"/>
    </row>
    <row r="5" spans="1:13" s="101" customFormat="1" ht="20.100000000000001" customHeight="1" x14ac:dyDescent="0.2">
      <c r="F5" s="105" t="s">
        <v>29</v>
      </c>
      <c r="G5" s="106" t="str">
        <f>Master!$B$5</f>
        <v>4:15 - 7:45pm</v>
      </c>
      <c r="H5" s="107"/>
      <c r="I5" s="108"/>
    </row>
    <row r="6" spans="1:13" s="101" customFormat="1" ht="20.100000000000001" customHeight="1" thickBot="1" x14ac:dyDescent="0.25">
      <c r="A6" s="109"/>
      <c r="B6" s="110"/>
      <c r="C6" s="110"/>
      <c r="D6" s="110"/>
      <c r="H6" s="103"/>
      <c r="I6" s="103"/>
    </row>
    <row r="7" spans="1:13" s="101" customFormat="1" ht="20.100000000000001" customHeight="1" thickBot="1" x14ac:dyDescent="0.25">
      <c r="A7" s="101" t="s">
        <v>45</v>
      </c>
      <c r="B7" s="326" t="s">
        <v>46</v>
      </c>
      <c r="C7" s="326"/>
      <c r="E7" s="326" t="s">
        <v>47</v>
      </c>
      <c r="F7" s="326"/>
      <c r="G7" s="103" t="s">
        <v>12</v>
      </c>
      <c r="H7" s="103" t="s">
        <v>48</v>
      </c>
      <c r="I7" s="103" t="s">
        <v>48</v>
      </c>
      <c r="K7" s="316" t="s">
        <v>84</v>
      </c>
      <c r="L7" s="317"/>
      <c r="M7" s="318"/>
    </row>
    <row r="8" spans="1:13" s="101" customFormat="1" ht="20.100000000000001" customHeight="1" thickBot="1" x14ac:dyDescent="0.25">
      <c r="A8" s="321" t="s">
        <v>49</v>
      </c>
      <c r="B8" s="322"/>
      <c r="C8" s="111" t="str">
        <f>Master!$B$9</f>
        <v>Golden Skaters Waltz</v>
      </c>
      <c r="D8" s="112"/>
      <c r="E8" s="112"/>
      <c r="F8" s="113"/>
      <c r="H8" s="103" t="s">
        <v>50</v>
      </c>
      <c r="I8" s="103" t="s">
        <v>51</v>
      </c>
      <c r="K8" s="236" t="s">
        <v>85</v>
      </c>
      <c r="L8" s="102"/>
      <c r="M8" s="228"/>
    </row>
    <row r="9" spans="1:13" s="101" customFormat="1" ht="20.100000000000001" customHeight="1" x14ac:dyDescent="0.2">
      <c r="A9" s="114">
        <v>1</v>
      </c>
      <c r="B9" s="330" t="s">
        <v>135</v>
      </c>
      <c r="C9" s="331"/>
      <c r="D9" s="115"/>
      <c r="E9" s="330" t="s">
        <v>139</v>
      </c>
      <c r="F9" s="332"/>
      <c r="G9" s="260" t="str">
        <f>VLOOKUP(B$1,Lookup!$A$33:$J$36,4,FALSE)</f>
        <v>won</v>
      </c>
      <c r="H9" s="116"/>
      <c r="I9" s="116"/>
      <c r="J9" s="117"/>
      <c r="K9" s="237" t="s">
        <v>82</v>
      </c>
      <c r="L9" s="102" t="s">
        <v>86</v>
      </c>
      <c r="M9" s="228"/>
    </row>
    <row r="10" spans="1:13" s="101" customFormat="1" ht="20.100000000000001" customHeight="1" x14ac:dyDescent="0.2">
      <c r="A10" s="114">
        <v>2</v>
      </c>
      <c r="B10" s="309" t="s">
        <v>133</v>
      </c>
      <c r="C10" s="311"/>
      <c r="D10" s="118"/>
      <c r="E10" s="309" t="s">
        <v>134</v>
      </c>
      <c r="F10" s="334"/>
      <c r="G10" s="261" t="str">
        <f>VLOOKUP(B$1,Lookup!$A$33:$J$36,5,FALSE)</f>
        <v>won</v>
      </c>
      <c r="H10" s="259"/>
      <c r="I10" s="119"/>
      <c r="J10" s="120" t="s">
        <v>78</v>
      </c>
      <c r="K10" s="237" t="s">
        <v>78</v>
      </c>
      <c r="L10" s="102">
        <f>IF(H10="y",1,IF(I10="y",2,0))</f>
        <v>0</v>
      </c>
      <c r="M10" s="228"/>
    </row>
    <row r="11" spans="1:13" s="101" customFormat="1" ht="20.100000000000001" customHeight="1" thickBot="1" x14ac:dyDescent="0.25">
      <c r="A11" s="114">
        <v>3</v>
      </c>
      <c r="B11" s="307" t="s">
        <v>131</v>
      </c>
      <c r="C11" s="312"/>
      <c r="D11" s="118"/>
      <c r="E11" s="307" t="s">
        <v>132</v>
      </c>
      <c r="F11" s="308"/>
      <c r="G11" s="262" t="str">
        <f>VLOOKUP(B$1,Lookup!$A$33:$J$36,6,FALSE)</f>
        <v>won</v>
      </c>
      <c r="H11" s="259"/>
      <c r="I11" s="119"/>
      <c r="J11" s="117"/>
      <c r="K11" s="238" t="s">
        <v>81</v>
      </c>
      <c r="L11" s="102">
        <f>IF(H11="y",1,IF(I11="y",2,0))</f>
        <v>0</v>
      </c>
      <c r="M11" s="228"/>
    </row>
    <row r="12" spans="1:13" ht="9.9499999999999993" customHeight="1" thickBot="1" x14ac:dyDescent="0.25">
      <c r="G12" s="241"/>
      <c r="K12" s="229"/>
      <c r="L12" s="226"/>
      <c r="M12" s="230"/>
    </row>
    <row r="13" spans="1:13" s="101" customFormat="1" ht="20.100000000000001" customHeight="1" thickBot="1" x14ac:dyDescent="0.25">
      <c r="A13" s="321" t="s">
        <v>52</v>
      </c>
      <c r="B13" s="322"/>
      <c r="C13" s="111" t="str">
        <f>Master!$B$10</f>
        <v>Riverside Rhumba</v>
      </c>
      <c r="D13" s="112"/>
      <c r="E13" s="112"/>
      <c r="F13" s="113"/>
      <c r="G13" s="241"/>
      <c r="H13" s="103"/>
      <c r="I13" s="103"/>
      <c r="K13" s="231"/>
      <c r="L13" s="102"/>
      <c r="M13" s="228"/>
    </row>
    <row r="14" spans="1:13" s="101" customFormat="1" ht="20.100000000000001" customHeight="1" x14ac:dyDescent="0.2">
      <c r="A14" s="114">
        <v>1</v>
      </c>
      <c r="B14" s="307" t="s">
        <v>135</v>
      </c>
      <c r="C14" s="335"/>
      <c r="D14" s="115"/>
      <c r="E14" s="307" t="s">
        <v>136</v>
      </c>
      <c r="F14" s="338"/>
      <c r="G14" s="260" t="str">
        <f>VLOOKUP(B$1,Lookup!$A$33:$J$36,7,FALSE)</f>
        <v>lost</v>
      </c>
      <c r="H14" s="259" t="s">
        <v>81</v>
      </c>
      <c r="I14" s="119"/>
      <c r="J14" s="117"/>
      <c r="K14" s="231"/>
      <c r="L14" s="102">
        <f>IF(H14="y",1,IF(I14="y",2,0))</f>
        <v>1</v>
      </c>
      <c r="M14" s="228"/>
    </row>
    <row r="15" spans="1:13" s="101" customFormat="1" ht="20.100000000000001" customHeight="1" x14ac:dyDescent="0.2">
      <c r="A15" s="114">
        <v>2</v>
      </c>
      <c r="B15" s="309" t="s">
        <v>137</v>
      </c>
      <c r="C15" s="336"/>
      <c r="D15" s="118"/>
      <c r="E15" s="309" t="s">
        <v>115</v>
      </c>
      <c r="F15" s="337"/>
      <c r="G15" s="261" t="str">
        <f>VLOOKUP(B$1,Lookup!$A$33:$J$36,8,FALSE)</f>
        <v>lost</v>
      </c>
      <c r="H15" s="259"/>
      <c r="I15" s="119"/>
      <c r="J15" s="117"/>
      <c r="K15" s="231"/>
      <c r="L15" s="102">
        <f>IF(H15="y",1,IF(I15="y",2,0))</f>
        <v>0</v>
      </c>
      <c r="M15" s="228"/>
    </row>
    <row r="16" spans="1:13" s="101" customFormat="1" ht="20.100000000000001" customHeight="1" thickBot="1" x14ac:dyDescent="0.25">
      <c r="A16" s="114">
        <v>3</v>
      </c>
      <c r="B16" s="309" t="s">
        <v>161</v>
      </c>
      <c r="C16" s="336"/>
      <c r="D16" s="118"/>
      <c r="E16" s="309" t="s">
        <v>138</v>
      </c>
      <c r="F16" s="337"/>
      <c r="G16" s="262" t="str">
        <f>VLOOKUP(B$1,Lookup!$A$33:$J$36,9,FALSE)</f>
        <v>won</v>
      </c>
      <c r="H16" s="259"/>
      <c r="I16" s="119"/>
      <c r="J16" s="117"/>
      <c r="K16" s="231"/>
      <c r="L16" s="102">
        <f>IF(H16="y",1,IF(I16="y",2,0))</f>
        <v>0</v>
      </c>
      <c r="M16" s="228"/>
    </row>
    <row r="17" spans="1:13" ht="18" x14ac:dyDescent="0.2">
      <c r="A17" s="123"/>
      <c r="B17" s="123"/>
      <c r="C17" s="123"/>
      <c r="D17" s="123"/>
      <c r="E17" s="123"/>
      <c r="F17" s="123"/>
      <c r="G17" s="123"/>
      <c r="H17" s="124"/>
      <c r="I17" s="124"/>
      <c r="K17" s="232" t="s">
        <v>83</v>
      </c>
      <c r="L17" s="227">
        <f>SUM(L10:L16)</f>
        <v>1</v>
      </c>
      <c r="M17" s="230"/>
    </row>
    <row r="18" spans="1:13" ht="15.75" thickBot="1" x14ac:dyDescent="0.25">
      <c r="K18" s="229"/>
      <c r="L18" s="226"/>
      <c r="M18" s="230"/>
    </row>
    <row r="19" spans="1:13" s="101" customFormat="1" ht="20.100000000000001" customHeight="1" thickBot="1" x14ac:dyDescent="0.25">
      <c r="A19" s="319" t="s">
        <v>53</v>
      </c>
      <c r="B19" s="320"/>
      <c r="C19" s="125" t="str">
        <f>Master!$B$15</f>
        <v>Prelim Waltz</v>
      </c>
      <c r="D19" s="126"/>
      <c r="E19" s="126"/>
      <c r="F19" s="113"/>
      <c r="H19" s="103"/>
      <c r="I19" s="103"/>
      <c r="K19" s="231"/>
      <c r="L19" s="102"/>
      <c r="M19" s="228"/>
    </row>
    <row r="20" spans="1:13" s="101" customFormat="1" ht="20.100000000000001" customHeight="1" x14ac:dyDescent="0.2">
      <c r="A20" s="114">
        <v>4</v>
      </c>
      <c r="B20" s="330" t="s">
        <v>135</v>
      </c>
      <c r="C20" s="331"/>
      <c r="D20" s="115"/>
      <c r="E20" s="330" t="s">
        <v>139</v>
      </c>
      <c r="F20" s="332"/>
      <c r="G20" s="260" t="str">
        <f>VLOOKUP($B$1,Lookup!$A$41:$J$44,4,FALSE)</f>
        <v>lost</v>
      </c>
      <c r="H20" s="116"/>
      <c r="I20" s="116"/>
      <c r="J20" s="117"/>
      <c r="K20" s="231"/>
      <c r="L20" s="102"/>
      <c r="M20" s="228"/>
    </row>
    <row r="21" spans="1:13" s="101" customFormat="1" ht="20.100000000000001" customHeight="1" x14ac:dyDescent="0.2">
      <c r="A21" s="114">
        <v>5</v>
      </c>
      <c r="B21" s="309" t="s">
        <v>137</v>
      </c>
      <c r="C21" s="311"/>
      <c r="D21" s="118"/>
      <c r="E21" s="309" t="s">
        <v>115</v>
      </c>
      <c r="F21" s="334"/>
      <c r="G21" s="261" t="str">
        <f>VLOOKUP($B$1,Lookup!$A$41:$J$44,5,FALSE)</f>
        <v>lost</v>
      </c>
      <c r="H21" s="259"/>
      <c r="I21" s="119"/>
      <c r="J21" s="117"/>
      <c r="K21" s="231"/>
      <c r="L21" s="102">
        <f>IF(H21="y",1,IF(I21="y",2,0))</f>
        <v>0</v>
      </c>
      <c r="M21" s="228"/>
    </row>
    <row r="22" spans="1:13" s="101" customFormat="1" ht="20.100000000000001" customHeight="1" thickBot="1" x14ac:dyDescent="0.25">
      <c r="A22" s="114">
        <v>6</v>
      </c>
      <c r="B22" s="309" t="s">
        <v>193</v>
      </c>
      <c r="C22" s="311"/>
      <c r="D22" s="118"/>
      <c r="E22" s="309" t="s">
        <v>194</v>
      </c>
      <c r="F22" s="334"/>
      <c r="G22" s="262" t="str">
        <f>VLOOKUP($B$1,Lookup!$A$41:$J$44,6,FALSE)</f>
        <v>lost</v>
      </c>
      <c r="H22" s="259"/>
      <c r="I22" s="119"/>
      <c r="J22" s="117"/>
      <c r="K22" s="231"/>
      <c r="L22" s="102">
        <f>IF(H22="y",1,IF(I22="y",2,0))</f>
        <v>0</v>
      </c>
      <c r="M22" s="228"/>
    </row>
    <row r="23" spans="1:13" ht="9.9499999999999993" customHeight="1" thickBot="1" x14ac:dyDescent="0.25">
      <c r="G23" s="241"/>
      <c r="K23" s="229"/>
      <c r="L23" s="226"/>
      <c r="M23" s="230"/>
    </row>
    <row r="24" spans="1:13" s="101" customFormat="1" ht="20.100000000000001" customHeight="1" thickBot="1" x14ac:dyDescent="0.25">
      <c r="A24" s="319" t="s">
        <v>54</v>
      </c>
      <c r="B24" s="320"/>
      <c r="C24" s="125" t="str">
        <f>Master!$B$16</f>
        <v>14 Step</v>
      </c>
      <c r="D24" s="126"/>
      <c r="E24" s="126"/>
      <c r="F24" s="113"/>
      <c r="G24" s="241"/>
      <c r="H24" s="103"/>
      <c r="I24" s="103"/>
      <c r="K24" s="231"/>
      <c r="L24" s="102"/>
      <c r="M24" s="228"/>
    </row>
    <row r="25" spans="1:13" s="101" customFormat="1" ht="20.100000000000001" customHeight="1" x14ac:dyDescent="0.2">
      <c r="A25" s="114">
        <v>7</v>
      </c>
      <c r="B25" s="330" t="s">
        <v>131</v>
      </c>
      <c r="C25" s="331"/>
      <c r="D25" s="115"/>
      <c r="E25" s="330" t="s">
        <v>138</v>
      </c>
      <c r="F25" s="332"/>
      <c r="G25" s="260" t="str">
        <f>VLOOKUP($B$1,Lookup!$A$41:$J$44,7,FALSE)</f>
        <v>lost</v>
      </c>
      <c r="H25" s="259"/>
      <c r="I25" s="119"/>
      <c r="J25" s="117"/>
      <c r="K25" s="231"/>
      <c r="L25" s="102">
        <f>IF(H25="y",1,IF(I25="y",2,0))</f>
        <v>0</v>
      </c>
      <c r="M25" s="228"/>
    </row>
    <row r="26" spans="1:13" s="101" customFormat="1" ht="20.100000000000001" customHeight="1" x14ac:dyDescent="0.2">
      <c r="A26" s="114">
        <v>8</v>
      </c>
      <c r="B26" s="309" t="s">
        <v>161</v>
      </c>
      <c r="C26" s="311"/>
      <c r="D26" s="118"/>
      <c r="E26" s="309" t="s">
        <v>134</v>
      </c>
      <c r="F26" s="334"/>
      <c r="G26" s="261" t="str">
        <f>VLOOKUP($B$1,Lookup!$A$41:$J$44,8,FALSE)</f>
        <v>lost</v>
      </c>
      <c r="H26" s="259"/>
      <c r="I26" s="119"/>
      <c r="J26" s="117"/>
      <c r="K26" s="231"/>
      <c r="L26" s="102">
        <f>IF(H26="y",1,IF(I26="y",2,0))</f>
        <v>0</v>
      </c>
      <c r="M26" s="228"/>
    </row>
    <row r="27" spans="1:13" s="101" customFormat="1" ht="20.100000000000001" customHeight="1" thickBot="1" x14ac:dyDescent="0.25">
      <c r="A27" s="114">
        <v>9</v>
      </c>
      <c r="B27" s="309" t="s">
        <v>133</v>
      </c>
      <c r="C27" s="336"/>
      <c r="D27" s="118"/>
      <c r="E27" s="309" t="s">
        <v>138</v>
      </c>
      <c r="F27" s="337"/>
      <c r="G27" s="262" t="str">
        <f>VLOOKUP($B$1,Lookup!$A$41:$J$44,9,FALSE)</f>
        <v>lost</v>
      </c>
      <c r="H27" s="259" t="s">
        <v>81</v>
      </c>
      <c r="I27" s="119"/>
      <c r="J27" s="117"/>
      <c r="K27" s="231"/>
      <c r="L27" s="102">
        <f>IF(H27="y",1,IF(I27="y",2,0))</f>
        <v>1</v>
      </c>
      <c r="M27" s="228"/>
    </row>
    <row r="28" spans="1:13" ht="18" x14ac:dyDescent="0.2">
      <c r="A28" s="123"/>
      <c r="B28" s="123"/>
      <c r="C28" s="123"/>
      <c r="D28" s="123"/>
      <c r="E28" s="123"/>
      <c r="F28" s="123"/>
      <c r="G28" s="123"/>
      <c r="H28" s="124"/>
      <c r="I28" s="124"/>
      <c r="K28" s="232" t="s">
        <v>83</v>
      </c>
      <c r="L28" s="227">
        <f>SUM(L21:L27)</f>
        <v>1</v>
      </c>
      <c r="M28" s="230"/>
    </row>
    <row r="29" spans="1:13" ht="15.75" thickBot="1" x14ac:dyDescent="0.25">
      <c r="K29" s="229"/>
      <c r="L29" s="226"/>
      <c r="M29" s="230"/>
    </row>
    <row r="30" spans="1:13" s="101" customFormat="1" ht="20.100000000000001" customHeight="1" thickBot="1" x14ac:dyDescent="0.25">
      <c r="A30" s="314" t="s">
        <v>55</v>
      </c>
      <c r="B30" s="315"/>
      <c r="C30" s="127" t="str">
        <f>Master!$B$21</f>
        <v>Blues</v>
      </c>
      <c r="D30" s="128"/>
      <c r="E30" s="128"/>
      <c r="F30" s="113"/>
      <c r="H30" s="103"/>
      <c r="I30" s="103"/>
      <c r="K30" s="231"/>
      <c r="L30" s="102"/>
      <c r="M30" s="228"/>
    </row>
    <row r="31" spans="1:13" s="101" customFormat="1" ht="20.100000000000001" customHeight="1" x14ac:dyDescent="0.2">
      <c r="A31" s="114">
        <v>10</v>
      </c>
      <c r="B31" s="330" t="s">
        <v>140</v>
      </c>
      <c r="C31" s="331"/>
      <c r="D31" s="115"/>
      <c r="E31" s="330" t="s">
        <v>141</v>
      </c>
      <c r="F31" s="332"/>
      <c r="G31" s="260" t="str">
        <f>VLOOKUP($B$1,Lookup!$A$49:$J$52,4,FALSE)</f>
        <v>lost</v>
      </c>
      <c r="H31" s="116"/>
      <c r="I31" s="116"/>
      <c r="J31" s="117"/>
      <c r="K31" s="231"/>
      <c r="L31" s="102"/>
      <c r="M31" s="228"/>
    </row>
    <row r="32" spans="1:13" s="101" customFormat="1" ht="20.100000000000001" customHeight="1" x14ac:dyDescent="0.2">
      <c r="A32" s="114">
        <v>11</v>
      </c>
      <c r="B32" s="309" t="s">
        <v>161</v>
      </c>
      <c r="C32" s="311"/>
      <c r="D32" s="118"/>
      <c r="E32" s="309" t="s">
        <v>138</v>
      </c>
      <c r="F32" s="334"/>
      <c r="G32" s="261" t="str">
        <f>VLOOKUP($B$1,Lookup!$A$49:$J$52,5,FALSE)</f>
        <v>lost</v>
      </c>
      <c r="H32" s="259" t="s">
        <v>81</v>
      </c>
      <c r="I32" s="119"/>
      <c r="J32" s="117"/>
      <c r="K32" s="231"/>
      <c r="L32" s="102">
        <f>IF(H32="y",1,IF(I32="y",2,0))</f>
        <v>1</v>
      </c>
      <c r="M32" s="228"/>
    </row>
    <row r="33" spans="1:13" s="101" customFormat="1" ht="20.100000000000001" customHeight="1" thickBot="1" x14ac:dyDescent="0.25">
      <c r="A33" s="114">
        <v>12</v>
      </c>
      <c r="B33" s="307" t="s">
        <v>195</v>
      </c>
      <c r="C33" s="335"/>
      <c r="D33" s="118"/>
      <c r="E33" s="307" t="s">
        <v>218</v>
      </c>
      <c r="F33" s="338"/>
      <c r="G33" s="262" t="str">
        <f>VLOOKUP($B$1,Lookup!$A$49:$J$52,6,FALSE)</f>
        <v>won</v>
      </c>
      <c r="H33" s="259"/>
      <c r="I33" s="119"/>
      <c r="J33" s="117"/>
      <c r="K33" s="231"/>
      <c r="L33" s="102">
        <f>IF(H33="y",1,IF(I33="y",2,0))</f>
        <v>0</v>
      </c>
      <c r="M33" s="228"/>
    </row>
    <row r="34" spans="1:13" ht="9.9499999999999993" customHeight="1" thickBot="1" x14ac:dyDescent="0.25">
      <c r="G34" s="241"/>
      <c r="K34" s="229"/>
      <c r="L34" s="226"/>
      <c r="M34" s="230"/>
    </row>
    <row r="35" spans="1:13" s="101" customFormat="1" ht="20.100000000000001" customHeight="1" thickBot="1" x14ac:dyDescent="0.25">
      <c r="A35" s="314" t="s">
        <v>56</v>
      </c>
      <c r="B35" s="315"/>
      <c r="C35" s="127" t="str">
        <f>Master!$B$22</f>
        <v>Starlight Waltz</v>
      </c>
      <c r="D35" s="128"/>
      <c r="E35" s="128"/>
      <c r="F35" s="113"/>
      <c r="G35" s="241"/>
      <c r="H35" s="103"/>
      <c r="I35" s="103"/>
      <c r="K35" s="231"/>
      <c r="L35" s="102"/>
      <c r="M35" s="228"/>
    </row>
    <row r="36" spans="1:13" s="101" customFormat="1" ht="20.100000000000001" customHeight="1" x14ac:dyDescent="0.2">
      <c r="A36" s="114">
        <v>13</v>
      </c>
      <c r="B36" s="330" t="s">
        <v>131</v>
      </c>
      <c r="C36" s="331"/>
      <c r="D36" s="115"/>
      <c r="E36" s="330" t="s">
        <v>138</v>
      </c>
      <c r="F36" s="332"/>
      <c r="G36" s="260" t="str">
        <f>VLOOKUP($B$1,Lookup!$A$49:$J$52,7,FALSE)</f>
        <v>lost</v>
      </c>
      <c r="H36" s="259"/>
      <c r="I36" s="119"/>
      <c r="J36" s="117"/>
      <c r="K36" s="231"/>
      <c r="L36" s="102">
        <f>IF(H36="y",1,IF(I36="y",2,0))</f>
        <v>0</v>
      </c>
      <c r="M36" s="228"/>
    </row>
    <row r="37" spans="1:13" s="101" customFormat="1" ht="20.100000000000001" customHeight="1" x14ac:dyDescent="0.2">
      <c r="A37" s="114">
        <v>14</v>
      </c>
      <c r="B37" s="309" t="s">
        <v>193</v>
      </c>
      <c r="C37" s="311"/>
      <c r="D37" s="118"/>
      <c r="E37" s="309" t="s">
        <v>194</v>
      </c>
      <c r="F37" s="334"/>
      <c r="G37" s="261" t="str">
        <f>VLOOKUP($B$1,Lookup!$A$49:$J$52,8,FALSE)</f>
        <v>lost</v>
      </c>
      <c r="H37" s="259"/>
      <c r="I37" s="119"/>
      <c r="J37" s="117"/>
      <c r="K37" s="231"/>
      <c r="L37" s="102">
        <f>IF(H37="y",1,IF(I37="y",2,0))</f>
        <v>0</v>
      </c>
      <c r="M37" s="228"/>
    </row>
    <row r="38" spans="1:13" s="101" customFormat="1" ht="20.100000000000001" customHeight="1" thickBot="1" x14ac:dyDescent="0.25">
      <c r="A38" s="114">
        <v>15</v>
      </c>
      <c r="B38" s="309" t="s">
        <v>195</v>
      </c>
      <c r="C38" s="336"/>
      <c r="D38" s="118"/>
      <c r="E38" s="309" t="s">
        <v>218</v>
      </c>
      <c r="F38" s="337"/>
      <c r="G38" s="262" t="str">
        <f>VLOOKUP($B$1,Lookup!$A$49:$J$52,9,FALSE)</f>
        <v>won</v>
      </c>
      <c r="H38" s="259"/>
      <c r="I38" s="119" t="s">
        <v>81</v>
      </c>
      <c r="J38" s="117"/>
      <c r="K38" s="231"/>
      <c r="L38" s="102">
        <f>IF(H38="y",1,IF(I38="y",2,0))</f>
        <v>2</v>
      </c>
      <c r="M38" s="228"/>
    </row>
    <row r="39" spans="1:13" ht="18.75" thickBot="1" x14ac:dyDescent="0.25">
      <c r="K39" s="233" t="s">
        <v>83</v>
      </c>
      <c r="L39" s="234">
        <f>SUM(L32:L38)</f>
        <v>3</v>
      </c>
      <c r="M39" s="235"/>
    </row>
  </sheetData>
  <sheetProtection password="CAEF" sheet="1" objects="1" scenarios="1" selectLockedCells="1"/>
  <mergeCells count="48">
    <mergeCell ref="E31:F31"/>
    <mergeCell ref="E32:F32"/>
    <mergeCell ref="E33:F33"/>
    <mergeCell ref="E36:F36"/>
    <mergeCell ref="E37:F37"/>
    <mergeCell ref="E38:F38"/>
    <mergeCell ref="B38:C38"/>
    <mergeCell ref="E14:F14"/>
    <mergeCell ref="E15:F15"/>
    <mergeCell ref="E16:F16"/>
    <mergeCell ref="E20:F20"/>
    <mergeCell ref="E21:F21"/>
    <mergeCell ref="E22:F22"/>
    <mergeCell ref="E25:F25"/>
    <mergeCell ref="E26:F26"/>
    <mergeCell ref="E27:F27"/>
    <mergeCell ref="B31:C31"/>
    <mergeCell ref="B32:C32"/>
    <mergeCell ref="B33:C33"/>
    <mergeCell ref="B36:C36"/>
    <mergeCell ref="B37:C37"/>
    <mergeCell ref="A35:B35"/>
    <mergeCell ref="A30:B30"/>
    <mergeCell ref="B14:C14"/>
    <mergeCell ref="B15:C15"/>
    <mergeCell ref="B16:C16"/>
    <mergeCell ref="B20:C20"/>
    <mergeCell ref="B21:C21"/>
    <mergeCell ref="B22:C22"/>
    <mergeCell ref="B27:C27"/>
    <mergeCell ref="A19:B19"/>
    <mergeCell ref="A24:B24"/>
    <mergeCell ref="B25:C25"/>
    <mergeCell ref="B26:C26"/>
    <mergeCell ref="A8:B8"/>
    <mergeCell ref="A13:B13"/>
    <mergeCell ref="K7:M7"/>
    <mergeCell ref="G3:I3"/>
    <mergeCell ref="G4:I4"/>
    <mergeCell ref="B7:C7"/>
    <mergeCell ref="E7:F7"/>
    <mergeCell ref="B3:D3"/>
    <mergeCell ref="B9:C9"/>
    <mergeCell ref="B10:C10"/>
    <mergeCell ref="B11:C11"/>
    <mergeCell ref="E9:F9"/>
    <mergeCell ref="E10:F10"/>
    <mergeCell ref="E11:F11"/>
  </mergeCells>
  <phoneticPr fontId="8" type="noConversion"/>
  <conditionalFormatting sqref="G20:G27 G9:G16 G31:G38">
    <cfRule type="cellIs" dxfId="24" priority="1" stopIfTrue="1" operator="equal">
      <formula>"won"</formula>
    </cfRule>
    <cfRule type="cellIs" dxfId="23" priority="2" stopIfTrue="1" operator="equal">
      <formula>"drew"</formula>
    </cfRule>
  </conditionalFormatting>
  <dataValidations count="1">
    <dataValidation type="list" allowBlank="1" showInputMessage="1" showErrorMessage="1" sqref="H10:I11 H14:I16 H21:I22 H25:I27 H32:I33 H36:I38">
      <formula1>$K$10:$K$11</formula1>
    </dataValidation>
  </dataValidations>
  <printOptions horizontalCentered="1"/>
  <pageMargins left="0.31496062992125984" right="0.31496062992125984" top="0.98425196850393704" bottom="0.11811023622047245" header="0.59055118110236227" footer="0.11811023622047245"/>
  <pageSetup paperSize="9" scale="93" orientation="portrait" horizontalDpi="300" verticalDpi="300" r:id="rId1"/>
  <headerFooter alignWithMargins="0">
    <oddHeader>&amp;C&amp;"Arial,Bold"&amp;22RIDL Final - Team Sheet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M39"/>
  <sheetViews>
    <sheetView showGridLines="0" showRowColHeaders="0" zoomScale="70" zoomScaleNormal="70" workbookViewId="0">
      <selection activeCell="B26" sqref="B26:C26"/>
    </sheetView>
  </sheetViews>
  <sheetFormatPr defaultColWidth="11.42578125" defaultRowHeight="15" x14ac:dyDescent="0.2"/>
  <cols>
    <col min="1" max="1" width="15" style="121" customWidth="1"/>
    <col min="2" max="3" width="13.85546875" style="121" customWidth="1"/>
    <col min="4" max="4" width="1.85546875" style="121" customWidth="1"/>
    <col min="5" max="6" width="13.85546875" style="121" customWidth="1"/>
    <col min="7" max="7" width="8.85546875" style="121" customWidth="1"/>
    <col min="8" max="9" width="10" style="122" customWidth="1"/>
    <col min="10" max="10" width="10" style="121" customWidth="1"/>
    <col min="11" max="16384" width="11.42578125" style="121"/>
  </cols>
  <sheetData>
    <row r="1" spans="1:13" s="99" customFormat="1" ht="23.25" x14ac:dyDescent="0.2">
      <c r="A1" s="97" t="s">
        <v>80</v>
      </c>
      <c r="B1" s="100" t="str">
        <f>IF(Master!A29="","",Master!A29)</f>
        <v>C</v>
      </c>
      <c r="C1" s="97" t="str">
        <f>IF(Master!B29="","",Master!B29)</f>
        <v>South West</v>
      </c>
      <c r="D1" s="98"/>
      <c r="G1" s="100"/>
      <c r="H1" s="100"/>
      <c r="I1" s="100"/>
      <c r="J1" s="100"/>
    </row>
    <row r="2" spans="1:13" s="101" customFormat="1" ht="20.100000000000001" customHeight="1" x14ac:dyDescent="0.2">
      <c r="B2" s="102"/>
      <c r="H2" s="103"/>
      <c r="I2" s="103"/>
    </row>
    <row r="3" spans="1:13" s="101" customFormat="1" ht="20.100000000000001" customHeight="1" x14ac:dyDescent="0.2">
      <c r="A3" s="104" t="s">
        <v>44</v>
      </c>
      <c r="B3" s="327" t="s">
        <v>121</v>
      </c>
      <c r="C3" s="328"/>
      <c r="D3" s="329"/>
      <c r="F3" s="105" t="s">
        <v>27</v>
      </c>
      <c r="G3" s="323" t="str">
        <f>Master!$B$3</f>
        <v>Solihull</v>
      </c>
      <c r="H3" s="324"/>
      <c r="I3" s="325"/>
    </row>
    <row r="4" spans="1:13" s="101" customFormat="1" ht="20.100000000000001" customHeight="1" x14ac:dyDescent="0.2">
      <c r="F4" s="105" t="s">
        <v>28</v>
      </c>
      <c r="G4" s="323" t="str">
        <f>Master!$B$4</f>
        <v>10th September 2016</v>
      </c>
      <c r="H4" s="324"/>
      <c r="I4" s="325"/>
    </row>
    <row r="5" spans="1:13" s="101" customFormat="1" ht="20.100000000000001" customHeight="1" x14ac:dyDescent="0.2">
      <c r="F5" s="105" t="s">
        <v>29</v>
      </c>
      <c r="G5" s="106" t="str">
        <f>Master!$B$5</f>
        <v>4:15 - 7:45pm</v>
      </c>
      <c r="H5" s="107"/>
      <c r="I5" s="108"/>
    </row>
    <row r="6" spans="1:13" s="101" customFormat="1" ht="20.100000000000001" customHeight="1" thickBot="1" x14ac:dyDescent="0.25">
      <c r="A6" s="109"/>
      <c r="B6" s="110"/>
      <c r="C6" s="110"/>
      <c r="D6" s="110"/>
      <c r="H6" s="103"/>
      <c r="I6" s="103"/>
    </row>
    <row r="7" spans="1:13" s="101" customFormat="1" ht="20.100000000000001" customHeight="1" thickBot="1" x14ac:dyDescent="0.25">
      <c r="A7" s="101" t="s">
        <v>45</v>
      </c>
      <c r="B7" s="326" t="s">
        <v>46</v>
      </c>
      <c r="C7" s="326"/>
      <c r="E7" s="326" t="s">
        <v>47</v>
      </c>
      <c r="F7" s="326"/>
      <c r="G7" s="103" t="s">
        <v>12</v>
      </c>
      <c r="H7" s="103" t="s">
        <v>48</v>
      </c>
      <c r="I7" s="103" t="s">
        <v>48</v>
      </c>
      <c r="K7" s="316" t="s">
        <v>84</v>
      </c>
      <c r="L7" s="317"/>
      <c r="M7" s="318"/>
    </row>
    <row r="8" spans="1:13" s="101" customFormat="1" ht="20.100000000000001" customHeight="1" thickBot="1" x14ac:dyDescent="0.25">
      <c r="A8" s="321" t="s">
        <v>49</v>
      </c>
      <c r="B8" s="322"/>
      <c r="C8" s="111" t="str">
        <f>Master!$B$9</f>
        <v>Golden Skaters Waltz</v>
      </c>
      <c r="D8" s="112"/>
      <c r="E8" s="112"/>
      <c r="F8" s="113"/>
      <c r="H8" s="103" t="s">
        <v>50</v>
      </c>
      <c r="I8" s="103" t="s">
        <v>51</v>
      </c>
      <c r="K8" s="236" t="s">
        <v>85</v>
      </c>
      <c r="L8" s="102"/>
      <c r="M8" s="228"/>
    </row>
    <row r="9" spans="1:13" s="101" customFormat="1" ht="20.100000000000001" customHeight="1" x14ac:dyDescent="0.2">
      <c r="A9" s="114">
        <v>1</v>
      </c>
      <c r="B9" s="330" t="s">
        <v>186</v>
      </c>
      <c r="C9" s="331"/>
      <c r="D9" s="115"/>
      <c r="E9" s="330" t="s">
        <v>196</v>
      </c>
      <c r="F9" s="332"/>
      <c r="G9" s="260" t="str">
        <f>VLOOKUP(B$1,Lookup!$A$33:$J$36,4,FALSE)</f>
        <v>lost</v>
      </c>
      <c r="H9" s="116"/>
      <c r="I9" s="116"/>
      <c r="J9" s="117"/>
      <c r="K9" s="237" t="s">
        <v>82</v>
      </c>
      <c r="L9" s="102" t="s">
        <v>86</v>
      </c>
      <c r="M9" s="228"/>
    </row>
    <row r="10" spans="1:13" s="101" customFormat="1" ht="20.100000000000001" customHeight="1" x14ac:dyDescent="0.2">
      <c r="A10" s="114">
        <v>2</v>
      </c>
      <c r="B10" s="309" t="s">
        <v>187</v>
      </c>
      <c r="C10" s="311"/>
      <c r="D10" s="118"/>
      <c r="E10" s="309" t="s">
        <v>188</v>
      </c>
      <c r="F10" s="334"/>
      <c r="G10" s="261" t="str">
        <f>VLOOKUP(B$1,Lookup!$A$33:$J$36,5,FALSE)</f>
        <v>won</v>
      </c>
      <c r="H10" s="259"/>
      <c r="I10" s="119"/>
      <c r="J10" s="120" t="s">
        <v>78</v>
      </c>
      <c r="K10" s="237" t="s">
        <v>78</v>
      </c>
      <c r="L10" s="102">
        <f>IF(H10="y",1,IF(I10="y",2,0))</f>
        <v>0</v>
      </c>
      <c r="M10" s="228"/>
    </row>
    <row r="11" spans="1:13" s="101" customFormat="1" ht="20.100000000000001" customHeight="1" thickBot="1" x14ac:dyDescent="0.25">
      <c r="A11" s="114">
        <v>3</v>
      </c>
      <c r="B11" s="309" t="s">
        <v>198</v>
      </c>
      <c r="C11" s="311"/>
      <c r="D11" s="118"/>
      <c r="E11" s="309" t="s">
        <v>197</v>
      </c>
      <c r="F11" s="334"/>
      <c r="G11" s="262" t="str">
        <f>VLOOKUP(B$1,Lookup!$A$33:$J$36,6,FALSE)</f>
        <v>lost</v>
      </c>
      <c r="H11" s="259"/>
      <c r="I11" s="119"/>
      <c r="J11" s="117"/>
      <c r="K11" s="238" t="s">
        <v>81</v>
      </c>
      <c r="L11" s="102">
        <f>IF(H11="y",1,IF(I11="y",2,0))</f>
        <v>0</v>
      </c>
      <c r="M11" s="228"/>
    </row>
    <row r="12" spans="1:13" ht="9.9499999999999993" customHeight="1" thickBot="1" x14ac:dyDescent="0.25">
      <c r="G12" s="241"/>
      <c r="K12" s="229"/>
      <c r="L12" s="226"/>
      <c r="M12" s="230"/>
    </row>
    <row r="13" spans="1:13" s="101" customFormat="1" ht="20.100000000000001" customHeight="1" thickBot="1" x14ac:dyDescent="0.25">
      <c r="A13" s="321" t="s">
        <v>52</v>
      </c>
      <c r="B13" s="322"/>
      <c r="C13" s="111" t="str">
        <f>Master!$B$10</f>
        <v>Riverside Rhumba</v>
      </c>
      <c r="D13" s="112"/>
      <c r="E13" s="112"/>
      <c r="F13" s="113"/>
      <c r="G13" s="241"/>
      <c r="H13" s="103"/>
      <c r="I13" s="103"/>
      <c r="K13" s="231"/>
      <c r="L13" s="102"/>
      <c r="M13" s="228"/>
    </row>
    <row r="14" spans="1:13" s="101" customFormat="1" ht="20.100000000000001" customHeight="1" x14ac:dyDescent="0.2">
      <c r="A14" s="114">
        <v>1</v>
      </c>
      <c r="B14" s="330" t="s">
        <v>189</v>
      </c>
      <c r="C14" s="331"/>
      <c r="D14" s="115"/>
      <c r="E14" s="330" t="s">
        <v>190</v>
      </c>
      <c r="F14" s="332"/>
      <c r="G14" s="260" t="str">
        <f>VLOOKUP(B$1,Lookup!$A$33:$J$36,7,FALSE)</f>
        <v>lost</v>
      </c>
      <c r="H14" s="259"/>
      <c r="I14" s="119"/>
      <c r="J14" s="117"/>
      <c r="K14" s="231"/>
      <c r="L14" s="102">
        <f>IF(H14="y",1,IF(I14="y",2,0))</f>
        <v>0</v>
      </c>
      <c r="M14" s="228"/>
    </row>
    <row r="15" spans="1:13" s="101" customFormat="1" ht="20.100000000000001" customHeight="1" x14ac:dyDescent="0.2">
      <c r="A15" s="114">
        <v>2</v>
      </c>
      <c r="B15" s="309" t="s">
        <v>199</v>
      </c>
      <c r="C15" s="311"/>
      <c r="D15" s="118"/>
      <c r="E15" s="309" t="s">
        <v>200</v>
      </c>
      <c r="F15" s="334"/>
      <c r="G15" s="261" t="str">
        <f>VLOOKUP(B$1,Lookup!$A$33:$J$36,8,FALSE)</f>
        <v>won</v>
      </c>
      <c r="H15" s="259"/>
      <c r="I15" s="119"/>
      <c r="J15" s="117"/>
      <c r="K15" s="231"/>
      <c r="L15" s="102">
        <f>IF(H15="y",1,IF(I15="y",2,0))</f>
        <v>0</v>
      </c>
      <c r="M15" s="228"/>
    </row>
    <row r="16" spans="1:13" s="101" customFormat="1" ht="20.100000000000001" customHeight="1" thickBot="1" x14ac:dyDescent="0.25">
      <c r="A16" s="114">
        <v>3</v>
      </c>
      <c r="B16" s="309" t="s">
        <v>191</v>
      </c>
      <c r="C16" s="311"/>
      <c r="D16" s="118"/>
      <c r="E16" s="309" t="s">
        <v>192</v>
      </c>
      <c r="F16" s="334"/>
      <c r="G16" s="262" t="str">
        <f>VLOOKUP(B$1,Lookup!$A$33:$J$36,9,FALSE)</f>
        <v>lost</v>
      </c>
      <c r="H16" s="259"/>
      <c r="I16" s="119"/>
      <c r="J16" s="117"/>
      <c r="K16" s="231"/>
      <c r="L16" s="102">
        <f>IF(H16="y",1,IF(I16="y",2,0))</f>
        <v>0</v>
      </c>
      <c r="M16" s="228"/>
    </row>
    <row r="17" spans="1:13" ht="18" x14ac:dyDescent="0.2">
      <c r="A17" s="123"/>
      <c r="B17" s="123"/>
      <c r="C17" s="123"/>
      <c r="D17" s="123"/>
      <c r="E17" s="123"/>
      <c r="F17" s="123"/>
      <c r="G17" s="123"/>
      <c r="H17" s="124"/>
      <c r="I17" s="124"/>
      <c r="K17" s="232" t="s">
        <v>83</v>
      </c>
      <c r="L17" s="227">
        <f>SUM(L10:L16)</f>
        <v>0</v>
      </c>
      <c r="M17" s="230"/>
    </row>
    <row r="18" spans="1:13" ht="15.75" thickBot="1" x14ac:dyDescent="0.25">
      <c r="K18" s="229"/>
      <c r="L18" s="226"/>
      <c r="M18" s="230"/>
    </row>
    <row r="19" spans="1:13" s="101" customFormat="1" ht="20.100000000000001" customHeight="1" thickBot="1" x14ac:dyDescent="0.25">
      <c r="A19" s="319" t="s">
        <v>53</v>
      </c>
      <c r="B19" s="320"/>
      <c r="C19" s="125" t="str">
        <f>Master!$B$15</f>
        <v>Prelim Waltz</v>
      </c>
      <c r="D19" s="126"/>
      <c r="E19" s="126"/>
      <c r="F19" s="113"/>
      <c r="H19" s="103"/>
      <c r="I19" s="103"/>
      <c r="K19" s="231"/>
      <c r="L19" s="102"/>
      <c r="M19" s="228"/>
    </row>
    <row r="20" spans="1:13" s="101" customFormat="1" ht="20.100000000000001" customHeight="1" x14ac:dyDescent="0.2">
      <c r="A20" s="114">
        <v>4</v>
      </c>
      <c r="B20" s="330" t="s">
        <v>208</v>
      </c>
      <c r="C20" s="331"/>
      <c r="D20" s="115"/>
      <c r="E20" s="330" t="s">
        <v>203</v>
      </c>
      <c r="F20" s="332"/>
      <c r="G20" s="260" t="str">
        <f>VLOOKUP($B$1,Lookup!$A$41:$J$44,4,FALSE)</f>
        <v>lost</v>
      </c>
      <c r="H20" s="116"/>
      <c r="I20" s="116"/>
      <c r="J20" s="117"/>
      <c r="K20" s="231"/>
      <c r="L20" s="102"/>
      <c r="M20" s="228"/>
    </row>
    <row r="21" spans="1:13" s="101" customFormat="1" ht="20.100000000000001" customHeight="1" x14ac:dyDescent="0.2">
      <c r="A21" s="114">
        <v>5</v>
      </c>
      <c r="B21" s="309" t="s">
        <v>211</v>
      </c>
      <c r="C21" s="311"/>
      <c r="D21" s="118"/>
      <c r="E21" s="309" t="s">
        <v>212</v>
      </c>
      <c r="F21" s="334"/>
      <c r="G21" s="261" t="str">
        <f>VLOOKUP($B$1,Lookup!$A$41:$J$44,5,FALSE)</f>
        <v>won</v>
      </c>
      <c r="H21" s="259"/>
      <c r="I21" s="119"/>
      <c r="J21" s="117"/>
      <c r="K21" s="231"/>
      <c r="L21" s="102">
        <f>IF(H21="y",1,IF(I21="y",2,0))</f>
        <v>0</v>
      </c>
      <c r="M21" s="228"/>
    </row>
    <row r="22" spans="1:13" s="101" customFormat="1" ht="20.100000000000001" customHeight="1" thickBot="1" x14ac:dyDescent="0.25">
      <c r="A22" s="114">
        <v>6</v>
      </c>
      <c r="B22" s="309" t="s">
        <v>201</v>
      </c>
      <c r="C22" s="311"/>
      <c r="D22" s="118"/>
      <c r="E22" s="309" t="s">
        <v>202</v>
      </c>
      <c r="F22" s="334"/>
      <c r="G22" s="262" t="str">
        <f>VLOOKUP($B$1,Lookup!$A$41:$J$44,6,FALSE)</f>
        <v>won</v>
      </c>
      <c r="H22" s="259"/>
      <c r="I22" s="119"/>
      <c r="J22" s="117"/>
      <c r="K22" s="231"/>
      <c r="L22" s="102">
        <f>IF(H22="y",1,IF(I22="y",2,0))</f>
        <v>0</v>
      </c>
      <c r="M22" s="228"/>
    </row>
    <row r="23" spans="1:13" ht="9.9499999999999993" customHeight="1" thickBot="1" x14ac:dyDescent="0.25">
      <c r="G23" s="241"/>
      <c r="K23" s="229"/>
      <c r="L23" s="226"/>
      <c r="M23" s="230"/>
    </row>
    <row r="24" spans="1:13" s="101" customFormat="1" ht="20.100000000000001" customHeight="1" thickBot="1" x14ac:dyDescent="0.25">
      <c r="A24" s="319" t="s">
        <v>54</v>
      </c>
      <c r="B24" s="320"/>
      <c r="C24" s="125" t="str">
        <f>Master!$B$16</f>
        <v>14 Step</v>
      </c>
      <c r="D24" s="126"/>
      <c r="E24" s="126"/>
      <c r="F24" s="113"/>
      <c r="G24" s="241"/>
      <c r="H24" s="103"/>
      <c r="I24" s="103"/>
      <c r="K24" s="231"/>
      <c r="L24" s="102"/>
      <c r="M24" s="228"/>
    </row>
    <row r="25" spans="1:13" s="101" customFormat="1" ht="20.100000000000001" customHeight="1" x14ac:dyDescent="0.2">
      <c r="A25" s="114">
        <v>7</v>
      </c>
      <c r="B25" s="330" t="s">
        <v>199</v>
      </c>
      <c r="C25" s="331"/>
      <c r="D25" s="115"/>
      <c r="E25" s="330" t="s">
        <v>203</v>
      </c>
      <c r="F25" s="332"/>
      <c r="G25" s="260" t="str">
        <f>VLOOKUP($B$1,Lookup!$A$41:$J$44,7,FALSE)</f>
        <v>won</v>
      </c>
      <c r="H25" s="259" t="s">
        <v>81</v>
      </c>
      <c r="I25" s="119"/>
      <c r="J25" s="117"/>
      <c r="K25" s="231"/>
      <c r="L25" s="102">
        <f>IF(H25="y",1,IF(I25="y",2,0))</f>
        <v>1</v>
      </c>
      <c r="M25" s="228"/>
    </row>
    <row r="26" spans="1:13" s="101" customFormat="1" ht="20.100000000000001" customHeight="1" x14ac:dyDescent="0.2">
      <c r="A26" s="114">
        <v>8</v>
      </c>
      <c r="B26" s="309" t="s">
        <v>204</v>
      </c>
      <c r="C26" s="311"/>
      <c r="D26" s="118"/>
      <c r="E26" s="309" t="s">
        <v>205</v>
      </c>
      <c r="F26" s="334"/>
      <c r="G26" s="261" t="str">
        <f>VLOOKUP($B$1,Lookup!$A$41:$J$44,8,FALSE)</f>
        <v>lost</v>
      </c>
      <c r="H26" s="259"/>
      <c r="I26" s="119"/>
      <c r="J26" s="117"/>
      <c r="K26" s="231"/>
      <c r="L26" s="102">
        <f>IF(H26="y",1,IF(I26="y",2,0))</f>
        <v>0</v>
      </c>
      <c r="M26" s="228"/>
    </row>
    <row r="27" spans="1:13" s="101" customFormat="1" ht="20.100000000000001" customHeight="1" thickBot="1" x14ac:dyDescent="0.25">
      <c r="A27" s="114">
        <v>9</v>
      </c>
      <c r="B27" s="309" t="s">
        <v>207</v>
      </c>
      <c r="C27" s="311"/>
      <c r="D27" s="118"/>
      <c r="E27" s="309" t="s">
        <v>206</v>
      </c>
      <c r="F27" s="334"/>
      <c r="G27" s="262" t="str">
        <f>VLOOKUP($B$1,Lookup!$A$41:$J$44,9,FALSE)</f>
        <v>won</v>
      </c>
      <c r="H27" s="259"/>
      <c r="I27" s="119"/>
      <c r="J27" s="117"/>
      <c r="K27" s="231"/>
      <c r="L27" s="102">
        <f>IF(H27="y",1,IF(I27="y",2,0))</f>
        <v>0</v>
      </c>
      <c r="M27" s="228"/>
    </row>
    <row r="28" spans="1:13" ht="18" x14ac:dyDescent="0.2">
      <c r="A28" s="123"/>
      <c r="B28" s="123"/>
      <c r="C28" s="123"/>
      <c r="D28" s="123"/>
      <c r="E28" s="123"/>
      <c r="F28" s="123"/>
      <c r="G28" s="123"/>
      <c r="H28" s="124"/>
      <c r="I28" s="124"/>
      <c r="K28" s="232" t="s">
        <v>83</v>
      </c>
      <c r="L28" s="227">
        <f>SUM(L21:L27)</f>
        <v>1</v>
      </c>
      <c r="M28" s="230"/>
    </row>
    <row r="29" spans="1:13" ht="15.75" thickBot="1" x14ac:dyDescent="0.25">
      <c r="K29" s="229"/>
      <c r="L29" s="226"/>
      <c r="M29" s="230"/>
    </row>
    <row r="30" spans="1:13" s="101" customFormat="1" ht="20.100000000000001" customHeight="1" thickBot="1" x14ac:dyDescent="0.25">
      <c r="A30" s="314" t="s">
        <v>55</v>
      </c>
      <c r="B30" s="315"/>
      <c r="C30" s="127" t="str">
        <f>Master!$B$21</f>
        <v>Blues</v>
      </c>
      <c r="D30" s="128"/>
      <c r="E30" s="128"/>
      <c r="F30" s="113"/>
      <c r="H30" s="103"/>
      <c r="I30" s="103"/>
      <c r="K30" s="231"/>
      <c r="L30" s="102"/>
      <c r="M30" s="228"/>
    </row>
    <row r="31" spans="1:13" s="101" customFormat="1" ht="20.100000000000001" customHeight="1" x14ac:dyDescent="0.2">
      <c r="A31" s="114">
        <v>10</v>
      </c>
      <c r="B31" s="330" t="s">
        <v>208</v>
      </c>
      <c r="C31" s="331"/>
      <c r="D31" s="115"/>
      <c r="E31" s="330" t="s">
        <v>206</v>
      </c>
      <c r="F31" s="332"/>
      <c r="G31" s="260" t="str">
        <f>VLOOKUP($B$1,Lookup!$A$49:$J$52,4,FALSE)</f>
        <v>won</v>
      </c>
      <c r="H31" s="116"/>
      <c r="I31" s="116"/>
      <c r="J31" s="117"/>
      <c r="K31" s="231"/>
      <c r="L31" s="102"/>
      <c r="M31" s="228"/>
    </row>
    <row r="32" spans="1:13" s="101" customFormat="1" ht="20.100000000000001" customHeight="1" x14ac:dyDescent="0.2">
      <c r="A32" s="114">
        <v>11</v>
      </c>
      <c r="B32" s="309" t="s">
        <v>211</v>
      </c>
      <c r="C32" s="311"/>
      <c r="D32" s="118"/>
      <c r="E32" s="309" t="s">
        <v>212</v>
      </c>
      <c r="F32" s="334"/>
      <c r="G32" s="261" t="str">
        <f>VLOOKUP($B$1,Lookup!$A$49:$J$52,5,FALSE)</f>
        <v>won</v>
      </c>
      <c r="H32" s="259"/>
      <c r="I32" s="119"/>
      <c r="J32" s="117"/>
      <c r="K32" s="231"/>
      <c r="L32" s="102">
        <f>IF(H32="y",1,IF(I32="y",2,0))</f>
        <v>0</v>
      </c>
      <c r="M32" s="228"/>
    </row>
    <row r="33" spans="1:13" s="101" customFormat="1" ht="20.100000000000001" customHeight="1" thickBot="1" x14ac:dyDescent="0.25">
      <c r="A33" s="114">
        <v>12</v>
      </c>
      <c r="B33" s="309" t="s">
        <v>207</v>
      </c>
      <c r="C33" s="311"/>
      <c r="D33" s="118"/>
      <c r="E33" s="309" t="s">
        <v>206</v>
      </c>
      <c r="F33" s="334"/>
      <c r="G33" s="262" t="str">
        <f>VLOOKUP($B$1,Lookup!$A$49:$J$52,6,FALSE)</f>
        <v>lost</v>
      </c>
      <c r="H33" s="259" t="s">
        <v>81</v>
      </c>
      <c r="I33" s="119"/>
      <c r="J33" s="117"/>
      <c r="K33" s="231"/>
      <c r="L33" s="102">
        <f>IF(H33="y",1,IF(I33="y",2,0))</f>
        <v>1</v>
      </c>
      <c r="M33" s="228"/>
    </row>
    <row r="34" spans="1:13" ht="9.9499999999999993" customHeight="1" thickBot="1" x14ac:dyDescent="0.25">
      <c r="G34" s="241"/>
      <c r="K34" s="229"/>
      <c r="L34" s="226"/>
      <c r="M34" s="230"/>
    </row>
    <row r="35" spans="1:13" s="101" customFormat="1" ht="20.100000000000001" customHeight="1" thickBot="1" x14ac:dyDescent="0.25">
      <c r="A35" s="314" t="s">
        <v>56</v>
      </c>
      <c r="B35" s="315"/>
      <c r="C35" s="127" t="str">
        <f>Master!$B$22</f>
        <v>Starlight Waltz</v>
      </c>
      <c r="D35" s="128"/>
      <c r="E35" s="128"/>
      <c r="F35" s="113"/>
      <c r="G35" s="241"/>
      <c r="H35" s="103"/>
      <c r="I35" s="103"/>
      <c r="K35" s="231"/>
      <c r="L35" s="102"/>
      <c r="M35" s="228"/>
    </row>
    <row r="36" spans="1:13" s="101" customFormat="1" ht="20.100000000000001" customHeight="1" x14ac:dyDescent="0.2">
      <c r="A36" s="114">
        <v>13</v>
      </c>
      <c r="B36" s="330" t="s">
        <v>204</v>
      </c>
      <c r="C36" s="331"/>
      <c r="D36" s="115"/>
      <c r="E36" s="330" t="s">
        <v>203</v>
      </c>
      <c r="F36" s="332"/>
      <c r="G36" s="260" t="str">
        <f>VLOOKUP($B$1,Lookup!$A$49:$J$52,7,FALSE)</f>
        <v>won</v>
      </c>
      <c r="H36" s="259"/>
      <c r="I36" s="119"/>
      <c r="J36" s="117"/>
      <c r="K36" s="231"/>
      <c r="L36" s="102">
        <f>IF(H36="y",1,IF(I36="y",2,0))</f>
        <v>0</v>
      </c>
      <c r="M36" s="228"/>
    </row>
    <row r="37" spans="1:13" s="101" customFormat="1" ht="20.100000000000001" customHeight="1" x14ac:dyDescent="0.2">
      <c r="A37" s="114">
        <v>14</v>
      </c>
      <c r="B37" s="307" t="s">
        <v>209</v>
      </c>
      <c r="C37" s="312"/>
      <c r="D37" s="118"/>
      <c r="E37" s="307" t="s">
        <v>202</v>
      </c>
      <c r="F37" s="333"/>
      <c r="G37" s="261" t="str">
        <f>VLOOKUP($B$1,Lookup!$A$49:$J$52,8,FALSE)</f>
        <v>lost</v>
      </c>
      <c r="H37" s="259"/>
      <c r="I37" s="119"/>
      <c r="J37" s="117"/>
      <c r="K37" s="231"/>
      <c r="L37" s="102">
        <f>IF(H37="y",1,IF(I37="y",2,0))</f>
        <v>0</v>
      </c>
      <c r="M37" s="228"/>
    </row>
    <row r="38" spans="1:13" s="101" customFormat="1" ht="20.100000000000001" customHeight="1" thickBot="1" x14ac:dyDescent="0.25">
      <c r="A38" s="114">
        <v>15</v>
      </c>
      <c r="B38" s="309" t="s">
        <v>186</v>
      </c>
      <c r="C38" s="311"/>
      <c r="D38" s="118"/>
      <c r="E38" s="309" t="s">
        <v>206</v>
      </c>
      <c r="F38" s="334"/>
      <c r="G38" s="262" t="str">
        <f>VLOOKUP($B$1,Lookup!$A$49:$J$52,9,FALSE)</f>
        <v>lost</v>
      </c>
      <c r="H38" s="259" t="s">
        <v>81</v>
      </c>
      <c r="I38" s="119"/>
      <c r="J38" s="117"/>
      <c r="K38" s="231"/>
      <c r="L38" s="102">
        <f>IF(H38="y",1,IF(I38="y",2,0))</f>
        <v>1</v>
      </c>
      <c r="M38" s="228"/>
    </row>
    <row r="39" spans="1:13" ht="18.75" thickBot="1" x14ac:dyDescent="0.25">
      <c r="K39" s="233" t="s">
        <v>83</v>
      </c>
      <c r="L39" s="234">
        <f>SUM(L32:L38)</f>
        <v>2</v>
      </c>
      <c r="M39" s="235"/>
    </row>
  </sheetData>
  <sheetProtection password="CAEF" sheet="1" objects="1" scenarios="1" selectLockedCells="1"/>
  <mergeCells count="48">
    <mergeCell ref="E31:F31"/>
    <mergeCell ref="E32:F32"/>
    <mergeCell ref="E33:F33"/>
    <mergeCell ref="E36:F36"/>
    <mergeCell ref="E37:F37"/>
    <mergeCell ref="E38:F38"/>
    <mergeCell ref="B38:C38"/>
    <mergeCell ref="E14:F14"/>
    <mergeCell ref="E15:F15"/>
    <mergeCell ref="E16:F16"/>
    <mergeCell ref="E20:F20"/>
    <mergeCell ref="E21:F21"/>
    <mergeCell ref="E22:F22"/>
    <mergeCell ref="E25:F25"/>
    <mergeCell ref="E26:F26"/>
    <mergeCell ref="E27:F27"/>
    <mergeCell ref="B31:C31"/>
    <mergeCell ref="B32:C32"/>
    <mergeCell ref="B33:C33"/>
    <mergeCell ref="B36:C36"/>
    <mergeCell ref="B37:C37"/>
    <mergeCell ref="A35:B35"/>
    <mergeCell ref="A30:B30"/>
    <mergeCell ref="B14:C14"/>
    <mergeCell ref="B15:C15"/>
    <mergeCell ref="B16:C16"/>
    <mergeCell ref="B20:C20"/>
    <mergeCell ref="B21:C21"/>
    <mergeCell ref="B22:C22"/>
    <mergeCell ref="B27:C27"/>
    <mergeCell ref="A19:B19"/>
    <mergeCell ref="A24:B24"/>
    <mergeCell ref="B25:C25"/>
    <mergeCell ref="B26:C26"/>
    <mergeCell ref="A8:B8"/>
    <mergeCell ref="A13:B13"/>
    <mergeCell ref="K7:M7"/>
    <mergeCell ref="G3:I3"/>
    <mergeCell ref="G4:I4"/>
    <mergeCell ref="B7:C7"/>
    <mergeCell ref="E7:F7"/>
    <mergeCell ref="B3:D3"/>
    <mergeCell ref="B9:C9"/>
    <mergeCell ref="B10:C10"/>
    <mergeCell ref="B11:C11"/>
    <mergeCell ref="E9:F9"/>
    <mergeCell ref="E10:F10"/>
    <mergeCell ref="E11:F11"/>
  </mergeCells>
  <phoneticPr fontId="8" type="noConversion"/>
  <conditionalFormatting sqref="G20:G27 G9:G16 G31:G38">
    <cfRule type="cellIs" dxfId="22" priority="1" stopIfTrue="1" operator="equal">
      <formula>"won"</formula>
    </cfRule>
    <cfRule type="cellIs" dxfId="21" priority="2" stopIfTrue="1" operator="equal">
      <formula>"drew"</formula>
    </cfRule>
  </conditionalFormatting>
  <dataValidations count="1">
    <dataValidation type="list" allowBlank="1" showInputMessage="1" showErrorMessage="1" sqref="H10:I11 H14:I16 H21:I22 H25:I27 H32:I33 H36:I38">
      <formula1>$K$10:$K$11</formula1>
    </dataValidation>
  </dataValidations>
  <printOptions horizontalCentered="1"/>
  <pageMargins left="0.31496062992125984" right="0.31496062992125984" top="0.98425196850393704" bottom="0.11811023622047245" header="0.59055118110236227" footer="0.11811023622047245"/>
  <pageSetup paperSize="9" scale="93" orientation="portrait" horizontalDpi="300" verticalDpi="300" r:id="rId1"/>
  <headerFooter alignWithMargins="0">
    <oddHeader>&amp;C&amp;"Arial,Bold"&amp;22RIDL Final - Team Sheet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T56"/>
  <sheetViews>
    <sheetView showGridLines="0" showRowColHeaders="0" topLeftCell="A7" zoomScale="50" zoomScaleNormal="50" workbookViewId="0">
      <selection activeCell="H24" sqref="H24"/>
    </sheetView>
  </sheetViews>
  <sheetFormatPr defaultColWidth="8.85546875" defaultRowHeight="12.75" x14ac:dyDescent="0.2"/>
  <cols>
    <col min="1" max="1" width="12.7109375" style="139" customWidth="1"/>
    <col min="2" max="2" width="4.85546875" style="139" customWidth="1"/>
    <col min="3" max="3" width="3.28515625" style="139" customWidth="1"/>
    <col min="4" max="4" width="5.42578125" style="139" customWidth="1"/>
    <col min="5" max="5" width="12.7109375" style="139" customWidth="1"/>
    <col min="6" max="14" width="10.7109375" style="139" customWidth="1"/>
    <col min="15" max="16384" width="8.85546875" style="139"/>
  </cols>
  <sheetData>
    <row r="1" spans="1:20" ht="30" customHeight="1" x14ac:dyDescent="0.2">
      <c r="A1" s="51" t="s">
        <v>21</v>
      </c>
      <c r="B1" s="52"/>
      <c r="C1" s="52"/>
      <c r="D1" s="52"/>
      <c r="E1" s="52"/>
      <c r="F1" s="52"/>
      <c r="G1" s="52"/>
    </row>
    <row r="2" spans="1:20" ht="30" customHeight="1" x14ac:dyDescent="0.2">
      <c r="A2" s="51"/>
      <c r="B2" s="52"/>
      <c r="C2" s="52"/>
      <c r="D2" s="52"/>
      <c r="E2" s="52"/>
      <c r="F2" s="52"/>
      <c r="G2" s="52"/>
    </row>
    <row r="3" spans="1:20" s="143" customFormat="1" ht="30" customHeight="1" x14ac:dyDescent="0.2">
      <c r="A3" s="141" t="s">
        <v>27</v>
      </c>
      <c r="B3" s="142" t="str">
        <f>IF(Master!B3="","",Master!B3)</f>
        <v>Solihull</v>
      </c>
      <c r="C3" s="142"/>
      <c r="K3" s="144" t="s">
        <v>1</v>
      </c>
      <c r="L3" s="247" t="str">
        <f>VLOOKUP(K3,Master!A26:B29,2,FALSE)</f>
        <v>South East</v>
      </c>
      <c r="M3" s="248"/>
      <c r="N3" s="248"/>
    </row>
    <row r="4" spans="1:20" s="143" customFormat="1" ht="30" customHeight="1" x14ac:dyDescent="0.2">
      <c r="A4" s="141" t="s">
        <v>28</v>
      </c>
      <c r="B4" s="142" t="str">
        <f>IF(Master!B4="","",Master!B4)</f>
        <v>10th September 2016</v>
      </c>
      <c r="C4" s="142"/>
      <c r="F4" s="142"/>
      <c r="K4" s="144" t="s">
        <v>2</v>
      </c>
      <c r="L4" s="247" t="str">
        <f>VLOOKUP(K4,Master!A26:B29,2,FALSE)</f>
        <v>South Central</v>
      </c>
      <c r="M4" s="248"/>
      <c r="N4" s="248"/>
    </row>
    <row r="5" spans="1:20" s="143" customFormat="1" ht="30" customHeight="1" x14ac:dyDescent="0.2">
      <c r="A5" s="141"/>
      <c r="B5" s="142"/>
      <c r="C5" s="142"/>
      <c r="F5" s="142"/>
      <c r="K5" s="144" t="s">
        <v>3</v>
      </c>
      <c r="L5" s="247" t="str">
        <f>VLOOKUP(K5,Master!A26:B29,2,FALSE)</f>
        <v>South West</v>
      </c>
      <c r="M5" s="248"/>
      <c r="N5" s="248"/>
    </row>
    <row r="6" spans="1:20" s="143" customFormat="1" ht="30" customHeight="1" x14ac:dyDescent="0.2">
      <c r="A6" s="145" t="s">
        <v>87</v>
      </c>
      <c r="B6" s="144"/>
      <c r="K6" s="144" t="s">
        <v>4</v>
      </c>
      <c r="L6" s="247" t="str">
        <f>VLOOKUP(K6,Master!A26:B29,2,FALSE)</f>
        <v>North</v>
      </c>
      <c r="M6" s="248"/>
      <c r="N6" s="248"/>
    </row>
    <row r="7" spans="1:20" ht="13.5" thickBot="1" x14ac:dyDescent="0.25"/>
    <row r="8" spans="1:20" ht="30" customHeight="1" x14ac:dyDescent="0.2">
      <c r="A8" s="347" t="str">
        <f>Master!$B$9</f>
        <v>Golden Skaters Waltz</v>
      </c>
      <c r="B8" s="348"/>
      <c r="C8" s="348"/>
      <c r="D8" s="348"/>
      <c r="E8" s="349"/>
      <c r="F8" s="339" t="s">
        <v>6</v>
      </c>
      <c r="G8" s="340"/>
      <c r="H8" s="340"/>
      <c r="I8" s="340"/>
      <c r="J8" s="341"/>
      <c r="K8" s="339" t="s">
        <v>7</v>
      </c>
      <c r="L8" s="340"/>
      <c r="M8" s="340"/>
      <c r="N8" s="341"/>
      <c r="P8" s="342" t="s">
        <v>10</v>
      </c>
      <c r="Q8" s="343"/>
      <c r="R8" s="343"/>
      <c r="S8" s="343"/>
      <c r="T8" s="343"/>
    </row>
    <row r="9" spans="1:20" s="130" customFormat="1" ht="30" customHeight="1" x14ac:dyDescent="0.2">
      <c r="A9" s="344" t="s">
        <v>79</v>
      </c>
      <c r="B9" s="345"/>
      <c r="C9" s="345"/>
      <c r="D9" s="345"/>
      <c r="E9" s="346"/>
      <c r="F9" s="9">
        <v>1</v>
      </c>
      <c r="G9" s="7">
        <v>2</v>
      </c>
      <c r="H9" s="7">
        <v>3</v>
      </c>
      <c r="I9" s="7">
        <v>4</v>
      </c>
      <c r="J9" s="14">
        <v>5</v>
      </c>
      <c r="K9" s="7" t="s">
        <v>1</v>
      </c>
      <c r="L9" s="7" t="s">
        <v>2</v>
      </c>
      <c r="M9" s="7" t="s">
        <v>3</v>
      </c>
      <c r="N9" s="14" t="s">
        <v>4</v>
      </c>
      <c r="P9" s="12" t="s">
        <v>1</v>
      </c>
      <c r="Q9" s="12" t="s">
        <v>2</v>
      </c>
      <c r="R9" s="12" t="s">
        <v>3</v>
      </c>
      <c r="S9" s="12" t="s">
        <v>4</v>
      </c>
      <c r="T9" s="129" t="s">
        <v>11</v>
      </c>
    </row>
    <row r="10" spans="1:20" s="130" customFormat="1" ht="30" customHeight="1" x14ac:dyDescent="0.2">
      <c r="A10" s="131"/>
      <c r="B10" s="155" t="s">
        <v>1</v>
      </c>
      <c r="C10" s="156" t="s">
        <v>9</v>
      </c>
      <c r="D10" s="157" t="s">
        <v>2</v>
      </c>
      <c r="E10" s="134"/>
      <c r="F10" s="6" t="s">
        <v>1</v>
      </c>
      <c r="G10" s="8" t="s">
        <v>1</v>
      </c>
      <c r="H10" s="8" t="s">
        <v>1</v>
      </c>
      <c r="I10" s="251" t="s">
        <v>102</v>
      </c>
      <c r="J10" s="134" t="s">
        <v>102</v>
      </c>
      <c r="K10" s="7">
        <f t="shared" ref="K10:K15" si="0">IF(OR(F10="",G10="",H10="",I10="",J10=""),"",IF(OR($B10="A",$D10="A"),IF(P10=(Q10+R10+S10),4,IF(P10&gt;(Q10+R10+S10),6,2)),""))</f>
        <v>6</v>
      </c>
      <c r="L10" s="7">
        <f t="shared" ref="L10:L15" si="1">IF(OR(F10="",G10="",H10="",I10="",J10=""),"",IF(OR($B10="B",$D10="B"),IF(Q10=(P10+R10+S10),4,IF(Q10&gt;(P10+R10+S10),6,2)),""))</f>
        <v>2</v>
      </c>
      <c r="M10" s="10" t="str">
        <f t="shared" ref="M10:M15" si="2">IF(OR(F10="",G10="",H10="",I10="",J10=""),"",IF(OR($B10="C",$D10="C"),IF(R10=(P10+Q10+S10),4,IF(R10&gt;(P10+Q10+S10),6,2)),""))</f>
        <v/>
      </c>
      <c r="N10" s="11" t="str">
        <f t="shared" ref="N10:N15" si="3">IF(OR(F10="",G10="",H10="",I10="",J10=""),"",IF(OR($B10="D",$D10="D"),IF(S10=(P10+Q10+R10),4,IF(S10&gt;(P10+Q10+R10),6,2)),""))</f>
        <v/>
      </c>
      <c r="P10" s="12">
        <f t="shared" ref="P10:P15" si="4">IF($F10="A",1,0)+IF($G10="A",1,0)+IF($H10="A",1,0)+IF($I10="A",1,0)+IF($J10="A",1,0)</f>
        <v>3</v>
      </c>
      <c r="Q10" s="12">
        <f t="shared" ref="Q10:Q15" si="5">IF($F10="B",1,0)+IF($G10="B",1,0)+IF($H10="B",1,0)+IF($I10="B",1,0)+IF($J10="B",1,0)</f>
        <v>0</v>
      </c>
      <c r="R10" s="12">
        <f t="shared" ref="R10:R15" si="6">IF($F10="C",1,0)+IF($G10="C",1,0)+IF($H10="C",1,0)+IF($I10="C",1,0)+IF($J10="C",1,0)</f>
        <v>0</v>
      </c>
      <c r="S10" s="12">
        <f t="shared" ref="S10:S15" si="7">IF($F10="D",1,0)+IF($G10="D",1,0)+IF($H10="D",1,0)+IF($I10="D",1,0)+IF($J10="D",1,0)</f>
        <v>0</v>
      </c>
      <c r="T10" s="12">
        <f t="shared" ref="T10:T15" si="8">IF($F10="X",1,0)+IF($G10="X",1,0)+IF($H10="X",1,0)+IF($I10="X",1,0)+IF($J10="X",1,0)</f>
        <v>2</v>
      </c>
    </row>
    <row r="11" spans="1:20" s="130" customFormat="1" ht="30" customHeight="1" x14ac:dyDescent="0.2">
      <c r="A11" s="131"/>
      <c r="B11" s="155" t="s">
        <v>4</v>
      </c>
      <c r="C11" s="156" t="s">
        <v>9</v>
      </c>
      <c r="D11" s="157" t="s">
        <v>3</v>
      </c>
      <c r="E11" s="134"/>
      <c r="F11" s="6" t="s">
        <v>4</v>
      </c>
      <c r="G11" s="8" t="s">
        <v>4</v>
      </c>
      <c r="H11" s="8" t="s">
        <v>4</v>
      </c>
      <c r="I11" s="251" t="s">
        <v>102</v>
      </c>
      <c r="J11" s="134" t="s">
        <v>102</v>
      </c>
      <c r="K11" s="10" t="str">
        <f t="shared" si="0"/>
        <v/>
      </c>
      <c r="L11" s="10" t="str">
        <f t="shared" si="1"/>
        <v/>
      </c>
      <c r="M11" s="7">
        <f t="shared" si="2"/>
        <v>2</v>
      </c>
      <c r="N11" s="14">
        <f t="shared" si="3"/>
        <v>6</v>
      </c>
      <c r="P11" s="12">
        <f t="shared" si="4"/>
        <v>0</v>
      </c>
      <c r="Q11" s="12">
        <f t="shared" si="5"/>
        <v>0</v>
      </c>
      <c r="R11" s="12">
        <f t="shared" si="6"/>
        <v>0</v>
      </c>
      <c r="S11" s="12">
        <f t="shared" si="7"/>
        <v>3</v>
      </c>
      <c r="T11" s="12">
        <f t="shared" si="8"/>
        <v>2</v>
      </c>
    </row>
    <row r="12" spans="1:20" s="130" customFormat="1" ht="30" customHeight="1" x14ac:dyDescent="0.2">
      <c r="A12" s="221" t="str">
        <f>VLOOKUP(B12,Lookup!C$6:I$9,2,FALSE)</f>
        <v/>
      </c>
      <c r="B12" s="132" t="s">
        <v>2</v>
      </c>
      <c r="C12" s="147" t="s">
        <v>9</v>
      </c>
      <c r="D12" s="133" t="s">
        <v>3</v>
      </c>
      <c r="E12" s="220" t="str">
        <f>VLOOKUP(D12,Lookup!C$6:I$9,2,FALSE)</f>
        <v/>
      </c>
      <c r="F12" s="6" t="s">
        <v>3</v>
      </c>
      <c r="G12" s="8" t="s">
        <v>3</v>
      </c>
      <c r="H12" s="8" t="s">
        <v>3</v>
      </c>
      <c r="I12" s="251" t="s">
        <v>102</v>
      </c>
      <c r="J12" s="134" t="s">
        <v>102</v>
      </c>
      <c r="K12" s="10" t="str">
        <f t="shared" si="0"/>
        <v/>
      </c>
      <c r="L12" s="7">
        <f t="shared" si="1"/>
        <v>2</v>
      </c>
      <c r="M12" s="7">
        <f t="shared" si="2"/>
        <v>6</v>
      </c>
      <c r="N12" s="11" t="str">
        <f t="shared" si="3"/>
        <v/>
      </c>
      <c r="P12" s="12">
        <f t="shared" si="4"/>
        <v>0</v>
      </c>
      <c r="Q12" s="12">
        <f t="shared" si="5"/>
        <v>0</v>
      </c>
      <c r="R12" s="12">
        <f t="shared" si="6"/>
        <v>3</v>
      </c>
      <c r="S12" s="12">
        <f t="shared" si="7"/>
        <v>0</v>
      </c>
      <c r="T12" s="12">
        <f t="shared" si="8"/>
        <v>2</v>
      </c>
    </row>
    <row r="13" spans="1:20" s="130" customFormat="1" ht="30" customHeight="1" x14ac:dyDescent="0.2">
      <c r="A13" s="221" t="str">
        <f>VLOOKUP(B13,Lookup!C$6:I$9,2,FALSE)</f>
        <v/>
      </c>
      <c r="B13" s="132" t="s">
        <v>1</v>
      </c>
      <c r="C13" s="147" t="s">
        <v>9</v>
      </c>
      <c r="D13" s="133" t="s">
        <v>4</v>
      </c>
      <c r="E13" s="220" t="str">
        <f>VLOOKUP(D13,Lookup!C$6:I$9,2,FALSE)</f>
        <v/>
      </c>
      <c r="F13" s="6" t="s">
        <v>1</v>
      </c>
      <c r="G13" s="8" t="s">
        <v>1</v>
      </c>
      <c r="H13" s="8" t="s">
        <v>1</v>
      </c>
      <c r="I13" s="251" t="s">
        <v>102</v>
      </c>
      <c r="J13" s="134" t="s">
        <v>102</v>
      </c>
      <c r="K13" s="7">
        <f t="shared" si="0"/>
        <v>6</v>
      </c>
      <c r="L13" s="10" t="str">
        <f t="shared" si="1"/>
        <v/>
      </c>
      <c r="M13" s="10" t="str">
        <f t="shared" si="2"/>
        <v/>
      </c>
      <c r="N13" s="14">
        <f t="shared" si="3"/>
        <v>2</v>
      </c>
      <c r="P13" s="12">
        <f t="shared" si="4"/>
        <v>3</v>
      </c>
      <c r="Q13" s="12">
        <f t="shared" si="5"/>
        <v>0</v>
      </c>
      <c r="R13" s="12">
        <f t="shared" si="6"/>
        <v>0</v>
      </c>
      <c r="S13" s="12">
        <f t="shared" si="7"/>
        <v>0</v>
      </c>
      <c r="T13" s="12">
        <f t="shared" si="8"/>
        <v>2</v>
      </c>
    </row>
    <row r="14" spans="1:20" s="130" customFormat="1" ht="30" customHeight="1" x14ac:dyDescent="0.2">
      <c r="A14" s="221" t="str">
        <f>VLOOKUP(B14,Lookup!C$6:I$9,3,FALSE)</f>
        <v/>
      </c>
      <c r="B14" s="132" t="s">
        <v>4</v>
      </c>
      <c r="C14" s="147" t="s">
        <v>9</v>
      </c>
      <c r="D14" s="133" t="s">
        <v>2</v>
      </c>
      <c r="E14" s="220">
        <f>VLOOKUP(D14,Lookup!C$6:I$9,3,FALSE)</f>
        <v>25</v>
      </c>
      <c r="F14" s="6" t="s">
        <v>4</v>
      </c>
      <c r="G14" s="8" t="s">
        <v>4</v>
      </c>
      <c r="H14" s="8" t="s">
        <v>2</v>
      </c>
      <c r="I14" s="251" t="s">
        <v>102</v>
      </c>
      <c r="J14" s="134" t="s">
        <v>102</v>
      </c>
      <c r="K14" s="10" t="str">
        <f t="shared" si="0"/>
        <v/>
      </c>
      <c r="L14" s="7">
        <f t="shared" si="1"/>
        <v>2</v>
      </c>
      <c r="M14" s="10" t="str">
        <f t="shared" si="2"/>
        <v/>
      </c>
      <c r="N14" s="14">
        <f t="shared" si="3"/>
        <v>6</v>
      </c>
      <c r="P14" s="12">
        <f t="shared" si="4"/>
        <v>0</v>
      </c>
      <c r="Q14" s="12">
        <f t="shared" si="5"/>
        <v>1</v>
      </c>
      <c r="R14" s="12">
        <f t="shared" si="6"/>
        <v>0</v>
      </c>
      <c r="S14" s="12">
        <f t="shared" si="7"/>
        <v>2</v>
      </c>
      <c r="T14" s="12">
        <f t="shared" si="8"/>
        <v>2</v>
      </c>
    </row>
    <row r="15" spans="1:20" s="130" customFormat="1" ht="30" customHeight="1" thickBot="1" x14ac:dyDescent="0.25">
      <c r="A15" s="242" t="str">
        <f>VLOOKUP(B15,Lookup!C$6:I$9,3,FALSE)</f>
        <v/>
      </c>
      <c r="B15" s="135" t="s">
        <v>3</v>
      </c>
      <c r="C15" s="153" t="s">
        <v>9</v>
      </c>
      <c r="D15" s="136" t="s">
        <v>1</v>
      </c>
      <c r="E15" s="243" t="str">
        <f>VLOOKUP(D15,Lookup!C$6:I$9,3,FALSE)</f>
        <v/>
      </c>
      <c r="F15" s="137" t="s">
        <v>1</v>
      </c>
      <c r="G15" s="138" t="s">
        <v>1</v>
      </c>
      <c r="H15" s="138" t="s">
        <v>1</v>
      </c>
      <c r="I15" s="254" t="s">
        <v>102</v>
      </c>
      <c r="J15" s="255" t="s">
        <v>102</v>
      </c>
      <c r="K15" s="19">
        <f t="shared" si="0"/>
        <v>6</v>
      </c>
      <c r="L15" s="18" t="str">
        <f t="shared" si="1"/>
        <v/>
      </c>
      <c r="M15" s="19">
        <f t="shared" si="2"/>
        <v>2</v>
      </c>
      <c r="N15" s="20" t="str">
        <f t="shared" si="3"/>
        <v/>
      </c>
      <c r="P15" s="12">
        <f t="shared" si="4"/>
        <v>3</v>
      </c>
      <c r="Q15" s="12">
        <f t="shared" si="5"/>
        <v>0</v>
      </c>
      <c r="R15" s="12">
        <f t="shared" si="6"/>
        <v>0</v>
      </c>
      <c r="S15" s="12">
        <f t="shared" si="7"/>
        <v>0</v>
      </c>
      <c r="T15" s="12">
        <f t="shared" si="8"/>
        <v>2</v>
      </c>
    </row>
    <row r="16" spans="1:20" s="130" customFormat="1" ht="30" customHeight="1" thickBot="1" x14ac:dyDescent="0.25">
      <c r="A16" s="350" t="s">
        <v>8</v>
      </c>
      <c r="B16" s="351"/>
      <c r="C16" s="351"/>
      <c r="D16" s="351"/>
      <c r="E16" s="351"/>
      <c r="F16" s="352"/>
      <c r="G16" s="352"/>
      <c r="H16" s="352"/>
      <c r="I16" s="352"/>
      <c r="J16" s="353"/>
      <c r="K16" s="21">
        <f>SUM(K10:K15)</f>
        <v>18</v>
      </c>
      <c r="L16" s="22">
        <f>SUM(L10:L15)</f>
        <v>6</v>
      </c>
      <c r="M16" s="22">
        <f>SUM(M10:M15)</f>
        <v>10</v>
      </c>
      <c r="N16" s="23">
        <f>SUM(N10:N15)</f>
        <v>14</v>
      </c>
    </row>
    <row r="18" spans="1:20" ht="13.5" thickBot="1" x14ac:dyDescent="0.25"/>
    <row r="19" spans="1:20" ht="30" customHeight="1" x14ac:dyDescent="0.2">
      <c r="A19" s="347" t="str">
        <f>Master!$B$10</f>
        <v>Riverside Rhumba</v>
      </c>
      <c r="B19" s="348"/>
      <c r="C19" s="348"/>
      <c r="D19" s="348"/>
      <c r="E19" s="349"/>
      <c r="F19" s="339" t="s">
        <v>6</v>
      </c>
      <c r="G19" s="340"/>
      <c r="H19" s="340"/>
      <c r="I19" s="340"/>
      <c r="J19" s="341"/>
      <c r="K19" s="339" t="s">
        <v>7</v>
      </c>
      <c r="L19" s="340"/>
      <c r="M19" s="340"/>
      <c r="N19" s="341"/>
      <c r="P19" s="342" t="s">
        <v>10</v>
      </c>
      <c r="Q19" s="343"/>
      <c r="R19" s="343"/>
      <c r="S19" s="343"/>
      <c r="T19" s="343"/>
    </row>
    <row r="20" spans="1:20" ht="30" customHeight="1" x14ac:dyDescent="0.2">
      <c r="A20" s="344" t="s">
        <v>79</v>
      </c>
      <c r="B20" s="345"/>
      <c r="C20" s="345"/>
      <c r="D20" s="345"/>
      <c r="E20" s="346"/>
      <c r="F20" s="9">
        <v>1</v>
      </c>
      <c r="G20" s="7">
        <v>2</v>
      </c>
      <c r="H20" s="7">
        <v>3</v>
      </c>
      <c r="I20" s="7">
        <v>4</v>
      </c>
      <c r="J20" s="14">
        <v>5</v>
      </c>
      <c r="K20" s="9" t="s">
        <v>1</v>
      </c>
      <c r="L20" s="7" t="s">
        <v>2</v>
      </c>
      <c r="M20" s="7" t="s">
        <v>3</v>
      </c>
      <c r="N20" s="14" t="s">
        <v>4</v>
      </c>
      <c r="P20" s="4" t="s">
        <v>1</v>
      </c>
      <c r="Q20" s="4" t="s">
        <v>2</v>
      </c>
      <c r="R20" s="4" t="s">
        <v>3</v>
      </c>
      <c r="S20" s="4" t="s">
        <v>4</v>
      </c>
      <c r="T20" s="5" t="s">
        <v>11</v>
      </c>
    </row>
    <row r="21" spans="1:20" ht="30" customHeight="1" x14ac:dyDescent="0.2">
      <c r="A21" s="219">
        <f>VLOOKUP(B21,Lookup!C$6:I$9,4,FALSE)</f>
        <v>25</v>
      </c>
      <c r="B21" s="132" t="s">
        <v>1</v>
      </c>
      <c r="C21" s="147" t="s">
        <v>9</v>
      </c>
      <c r="D21" s="133" t="s">
        <v>2</v>
      </c>
      <c r="E21" s="220" t="str">
        <f>VLOOKUP(D21,Lookup!C$6:I$9,4,FALSE)</f>
        <v/>
      </c>
      <c r="F21" s="6" t="s">
        <v>2</v>
      </c>
      <c r="G21" s="8" t="s">
        <v>2</v>
      </c>
      <c r="H21" s="8" t="s">
        <v>2</v>
      </c>
      <c r="I21" s="251" t="s">
        <v>102</v>
      </c>
      <c r="J21" s="134" t="s">
        <v>102</v>
      </c>
      <c r="K21" s="9">
        <f t="shared" ref="K21:K26" si="9">IF(OR(F21="",G21="",H21="",I21="",J21=""),"",IF(OR($B21="A",$D21="A"),IF(P21=(Q21+R21+S21),4,IF(P21&gt;(Q21+R21+S21),6,2)),""))</f>
        <v>2</v>
      </c>
      <c r="L21" s="7">
        <f t="shared" ref="L21:L26" si="10">IF(OR(F21="",G21="",H21="",I21="",J21=""),"",IF(OR($B21="B",$D21="B"),IF(Q21=(P21+R21+S21),4,IF(Q21&gt;(P21+R21+S21),6,2)),""))</f>
        <v>6</v>
      </c>
      <c r="M21" s="10" t="str">
        <f t="shared" ref="M21:M26" si="11">IF(OR(F21="",G21="",H21="",I21="",J21=""),"",IF(OR($B21="C",$D21="C"),IF(R21=(P21+Q21+S21),4,IF(R21&gt;(P21+Q21+S21),6,2)),""))</f>
        <v/>
      </c>
      <c r="N21" s="11" t="str">
        <f t="shared" ref="N21:N26" si="12">IF(OR(F21="",G21="",H21="",I21="",J21=""),"",IF(OR($B21="D",$D21="D"),IF(S21=(P21+Q21+R21),4,IF(S21&gt;(P21+Q21+R21),6,2)),""))</f>
        <v/>
      </c>
      <c r="P21" s="12">
        <f t="shared" ref="P21:P26" si="13">IF($F21="A",1,0)+IF($G21="A",1,0)+IF($H21="A",1,0)+IF($I21="A",1,0)+IF($J21="A",1,0)</f>
        <v>0</v>
      </c>
      <c r="Q21" s="12">
        <f t="shared" ref="Q21:Q26" si="14">IF($F21="B",1,0)+IF($G21="B",1,0)+IF($H21="B",1,0)+IF($I21="B",1,0)+IF($J21="B",1,0)</f>
        <v>3</v>
      </c>
      <c r="R21" s="12">
        <f t="shared" ref="R21:R26" si="15">IF($F21="C",1,0)+IF($G21="C",1,0)+IF($H21="C",1,0)+IF($I21="C",1,0)+IF($J21="C",1,0)</f>
        <v>0</v>
      </c>
      <c r="S21" s="12">
        <f t="shared" ref="S21:S26" si="16">IF($F21="D",1,0)+IF($G21="D",1,0)+IF($H21="D",1,0)+IF($I21="D",1,0)+IF($J21="D",1,0)</f>
        <v>0</v>
      </c>
      <c r="T21" s="12">
        <f t="shared" ref="T21:T26" si="17">IF($F21="X",1,0)+IF($G21="X",1,0)+IF($H21="X",1,0)+IF($I21="X",1,0)+IF($J21="X",1,0)</f>
        <v>2</v>
      </c>
    </row>
    <row r="22" spans="1:20" ht="30" customHeight="1" x14ac:dyDescent="0.2">
      <c r="A22" s="219" t="str">
        <f>VLOOKUP(B22,Lookup!C$6:I$9,4,FALSE)</f>
        <v/>
      </c>
      <c r="B22" s="132" t="s">
        <v>4</v>
      </c>
      <c r="C22" s="147" t="s">
        <v>9</v>
      </c>
      <c r="D22" s="133" t="s">
        <v>3</v>
      </c>
      <c r="E22" s="220" t="str">
        <f>VLOOKUP(D22,Lookup!C$6:I$9,4,FALSE)</f>
        <v/>
      </c>
      <c r="F22" s="6" t="s">
        <v>4</v>
      </c>
      <c r="G22" s="8" t="s">
        <v>4</v>
      </c>
      <c r="H22" s="8" t="s">
        <v>3</v>
      </c>
      <c r="I22" s="251" t="s">
        <v>102</v>
      </c>
      <c r="J22" s="134" t="s">
        <v>102</v>
      </c>
      <c r="K22" s="13" t="str">
        <f t="shared" si="9"/>
        <v/>
      </c>
      <c r="L22" s="10" t="str">
        <f t="shared" si="10"/>
        <v/>
      </c>
      <c r="M22" s="7">
        <f t="shared" si="11"/>
        <v>2</v>
      </c>
      <c r="N22" s="14">
        <f t="shared" si="12"/>
        <v>6</v>
      </c>
      <c r="P22" s="12">
        <f t="shared" si="13"/>
        <v>0</v>
      </c>
      <c r="Q22" s="12">
        <f t="shared" si="14"/>
        <v>0</v>
      </c>
      <c r="R22" s="12">
        <f t="shared" si="15"/>
        <v>1</v>
      </c>
      <c r="S22" s="12">
        <f t="shared" si="16"/>
        <v>2</v>
      </c>
      <c r="T22" s="12">
        <f t="shared" si="17"/>
        <v>2</v>
      </c>
    </row>
    <row r="23" spans="1:20" ht="30" customHeight="1" x14ac:dyDescent="0.2">
      <c r="A23" s="219" t="str">
        <f>VLOOKUP(B23,Lookup!C$6:I$9,5,FALSE)</f>
        <v/>
      </c>
      <c r="B23" s="132" t="s">
        <v>2</v>
      </c>
      <c r="C23" s="147" t="s">
        <v>9</v>
      </c>
      <c r="D23" s="133" t="s">
        <v>3</v>
      </c>
      <c r="E23" s="220" t="str">
        <f>VLOOKUP(D23,Lookup!C$6:I$9,5,FALSE)</f>
        <v/>
      </c>
      <c r="F23" s="6" t="s">
        <v>3</v>
      </c>
      <c r="G23" s="8" t="s">
        <v>3</v>
      </c>
      <c r="H23" s="8" t="s">
        <v>2</v>
      </c>
      <c r="I23" s="251" t="s">
        <v>102</v>
      </c>
      <c r="J23" s="134" t="s">
        <v>102</v>
      </c>
      <c r="K23" s="13" t="str">
        <f t="shared" si="9"/>
        <v/>
      </c>
      <c r="L23" s="7">
        <f t="shared" si="10"/>
        <v>2</v>
      </c>
      <c r="M23" s="7">
        <f t="shared" si="11"/>
        <v>6</v>
      </c>
      <c r="N23" s="11" t="str">
        <f t="shared" si="12"/>
        <v/>
      </c>
      <c r="P23" s="12">
        <f t="shared" si="13"/>
        <v>0</v>
      </c>
      <c r="Q23" s="12">
        <f t="shared" si="14"/>
        <v>1</v>
      </c>
      <c r="R23" s="12">
        <f t="shared" si="15"/>
        <v>2</v>
      </c>
      <c r="S23" s="12">
        <f t="shared" si="16"/>
        <v>0</v>
      </c>
      <c r="T23" s="12">
        <f t="shared" si="17"/>
        <v>2</v>
      </c>
    </row>
    <row r="24" spans="1:20" ht="30" customHeight="1" x14ac:dyDescent="0.2">
      <c r="A24" s="219" t="str">
        <f>VLOOKUP(B24,Lookup!C$6:I$9,5,FALSE)</f>
        <v/>
      </c>
      <c r="B24" s="132" t="s">
        <v>1</v>
      </c>
      <c r="C24" s="147" t="s">
        <v>9</v>
      </c>
      <c r="D24" s="133" t="s">
        <v>4</v>
      </c>
      <c r="E24" s="220" t="str">
        <f>VLOOKUP(D24,Lookup!C$6:I$9,5,FALSE)</f>
        <v/>
      </c>
      <c r="F24" s="6" t="s">
        <v>4</v>
      </c>
      <c r="G24" s="8" t="s">
        <v>4</v>
      </c>
      <c r="H24" s="8" t="s">
        <v>4</v>
      </c>
      <c r="I24" s="251" t="s">
        <v>102</v>
      </c>
      <c r="J24" s="134" t="s">
        <v>102</v>
      </c>
      <c r="K24" s="9">
        <f t="shared" si="9"/>
        <v>2</v>
      </c>
      <c r="L24" s="10" t="str">
        <f t="shared" si="10"/>
        <v/>
      </c>
      <c r="M24" s="10" t="str">
        <f t="shared" si="11"/>
        <v/>
      </c>
      <c r="N24" s="14">
        <f t="shared" si="12"/>
        <v>6</v>
      </c>
      <c r="P24" s="12">
        <f t="shared" si="13"/>
        <v>0</v>
      </c>
      <c r="Q24" s="12">
        <f t="shared" si="14"/>
        <v>0</v>
      </c>
      <c r="R24" s="12">
        <f t="shared" si="15"/>
        <v>0</v>
      </c>
      <c r="S24" s="12">
        <f t="shared" si="16"/>
        <v>3</v>
      </c>
      <c r="T24" s="12">
        <f t="shared" si="17"/>
        <v>2</v>
      </c>
    </row>
    <row r="25" spans="1:20" ht="30" customHeight="1" x14ac:dyDescent="0.2">
      <c r="A25" s="219" t="str">
        <f>VLOOKUP(B25,Lookup!C$6:I$9,6,FALSE)</f>
        <v/>
      </c>
      <c r="B25" s="132" t="s">
        <v>4</v>
      </c>
      <c r="C25" s="147" t="s">
        <v>9</v>
      </c>
      <c r="D25" s="133" t="s">
        <v>2</v>
      </c>
      <c r="E25" s="220">
        <f>VLOOKUP(D25,Lookup!C$6:I$9,6,FALSE)</f>
        <v>25</v>
      </c>
      <c r="F25" s="6" t="s">
        <v>2</v>
      </c>
      <c r="G25" s="8" t="s">
        <v>2</v>
      </c>
      <c r="H25" s="8" t="s">
        <v>4</v>
      </c>
      <c r="I25" s="251" t="s">
        <v>102</v>
      </c>
      <c r="J25" s="134" t="s">
        <v>102</v>
      </c>
      <c r="K25" s="13" t="str">
        <f t="shared" si="9"/>
        <v/>
      </c>
      <c r="L25" s="7">
        <f t="shared" si="10"/>
        <v>6</v>
      </c>
      <c r="M25" s="10" t="str">
        <f t="shared" si="11"/>
        <v/>
      </c>
      <c r="N25" s="14">
        <f t="shared" si="12"/>
        <v>2</v>
      </c>
      <c r="P25" s="12">
        <f t="shared" si="13"/>
        <v>0</v>
      </c>
      <c r="Q25" s="12">
        <f t="shared" si="14"/>
        <v>2</v>
      </c>
      <c r="R25" s="12">
        <f t="shared" si="15"/>
        <v>0</v>
      </c>
      <c r="S25" s="12">
        <f t="shared" si="16"/>
        <v>1</v>
      </c>
      <c r="T25" s="12">
        <f t="shared" si="17"/>
        <v>2</v>
      </c>
    </row>
    <row r="26" spans="1:20" ht="30" customHeight="1" thickBot="1" x14ac:dyDescent="0.25">
      <c r="A26" s="219" t="str">
        <f>VLOOKUP(B26,Lookup!C$6:I$9,6,FALSE)</f>
        <v/>
      </c>
      <c r="B26" s="135" t="s">
        <v>3</v>
      </c>
      <c r="C26" s="153" t="s">
        <v>9</v>
      </c>
      <c r="D26" s="136" t="s">
        <v>1</v>
      </c>
      <c r="E26" s="220" t="str">
        <f>VLOOKUP(D26,Lookup!C$6:I$9,6,FALSE)</f>
        <v/>
      </c>
      <c r="F26" s="15" t="s">
        <v>1</v>
      </c>
      <c r="G26" s="16" t="s">
        <v>1</v>
      </c>
      <c r="H26" s="16" t="s">
        <v>1</v>
      </c>
      <c r="I26" s="252" t="s">
        <v>102</v>
      </c>
      <c r="J26" s="253" t="s">
        <v>102</v>
      </c>
      <c r="K26" s="17">
        <f t="shared" si="9"/>
        <v>6</v>
      </c>
      <c r="L26" s="18" t="str">
        <f t="shared" si="10"/>
        <v/>
      </c>
      <c r="M26" s="19">
        <f t="shared" si="11"/>
        <v>2</v>
      </c>
      <c r="N26" s="20" t="str">
        <f t="shared" si="12"/>
        <v/>
      </c>
      <c r="P26" s="12">
        <f t="shared" si="13"/>
        <v>3</v>
      </c>
      <c r="Q26" s="12">
        <f t="shared" si="14"/>
        <v>0</v>
      </c>
      <c r="R26" s="12">
        <f t="shared" si="15"/>
        <v>0</v>
      </c>
      <c r="S26" s="12">
        <f t="shared" si="16"/>
        <v>0</v>
      </c>
      <c r="T26" s="12">
        <f t="shared" si="17"/>
        <v>2</v>
      </c>
    </row>
    <row r="27" spans="1:20" ht="30" customHeight="1" thickBot="1" x14ac:dyDescent="0.25">
      <c r="A27" s="364" t="s">
        <v>8</v>
      </c>
      <c r="B27" s="355"/>
      <c r="C27" s="355"/>
      <c r="D27" s="355"/>
      <c r="E27" s="355"/>
      <c r="F27" s="355"/>
      <c r="G27" s="355"/>
      <c r="H27" s="355"/>
      <c r="I27" s="355"/>
      <c r="J27" s="356"/>
      <c r="K27" s="21">
        <f>SUM(K21:K26)</f>
        <v>10</v>
      </c>
      <c r="L27" s="22">
        <f>SUM(L21:L26)</f>
        <v>14</v>
      </c>
      <c r="M27" s="22">
        <f>SUM(M21:M26)</f>
        <v>10</v>
      </c>
      <c r="N27" s="23">
        <f>SUM(N21:N26)</f>
        <v>14</v>
      </c>
    </row>
    <row r="30" spans="1:20" ht="13.5" thickBot="1" x14ac:dyDescent="0.25"/>
    <row r="31" spans="1:20" ht="30" customHeight="1" thickBot="1" x14ac:dyDescent="0.25">
      <c r="A31" s="357" t="s">
        <v>13</v>
      </c>
      <c r="B31" s="355"/>
      <c r="C31" s="355"/>
      <c r="D31" s="355"/>
      <c r="E31" s="355"/>
      <c r="F31" s="355"/>
      <c r="G31" s="355"/>
      <c r="H31" s="355"/>
      <c r="I31" s="355"/>
      <c r="J31" s="356"/>
      <c r="K31" s="21" t="s">
        <v>1</v>
      </c>
      <c r="L31" s="22" t="s">
        <v>2</v>
      </c>
      <c r="M31" s="22" t="s">
        <v>3</v>
      </c>
      <c r="N31" s="23" t="s">
        <v>4</v>
      </c>
    </row>
    <row r="32" spans="1:20" ht="30" customHeight="1" x14ac:dyDescent="0.2">
      <c r="A32" s="365" t="s">
        <v>14</v>
      </c>
      <c r="B32" s="340"/>
      <c r="C32" s="340"/>
      <c r="D32" s="340"/>
      <c r="E32" s="340"/>
      <c r="F32" s="340"/>
      <c r="G32" s="340"/>
      <c r="H32" s="340"/>
      <c r="I32" s="340"/>
      <c r="J32" s="341"/>
      <c r="K32" s="24">
        <f>K16+K27</f>
        <v>28</v>
      </c>
      <c r="L32" s="25">
        <f>L16+L27</f>
        <v>20</v>
      </c>
      <c r="M32" s="25">
        <f>M16+M27</f>
        <v>20</v>
      </c>
      <c r="N32" s="26">
        <f>N16+N27</f>
        <v>28</v>
      </c>
    </row>
    <row r="33" spans="1:19" ht="30" customHeight="1" x14ac:dyDescent="0.2">
      <c r="A33" s="358" t="s">
        <v>15</v>
      </c>
      <c r="B33" s="359"/>
      <c r="C33" s="359"/>
      <c r="D33" s="359"/>
      <c r="E33" s="359"/>
      <c r="F33" s="359"/>
      <c r="G33" s="359"/>
      <c r="H33" s="359"/>
      <c r="I33" s="359"/>
      <c r="J33" s="360"/>
      <c r="K33" s="239">
        <f>VLOOKUP(K31,Lookup!$C6:$I9,7,FALSE)</f>
        <v>11</v>
      </c>
      <c r="L33" s="244">
        <f>VLOOKUP(L31,Lookup!$C6:$I9,7,FALSE)</f>
        <v>10</v>
      </c>
      <c r="M33" s="244">
        <f>VLOOKUP(M31,Lookup!$C6:$I9,7,FALSE)</f>
        <v>12</v>
      </c>
      <c r="N33" s="245">
        <f>VLOOKUP(N31,Lookup!$C6:$I9,7,FALSE)</f>
        <v>12</v>
      </c>
    </row>
    <row r="34" spans="1:19" ht="30" customHeight="1" x14ac:dyDescent="0.2">
      <c r="A34" s="358" t="s">
        <v>16</v>
      </c>
      <c r="B34" s="359"/>
      <c r="C34" s="359"/>
      <c r="D34" s="359"/>
      <c r="E34" s="359"/>
      <c r="F34" s="359"/>
      <c r="G34" s="359"/>
      <c r="H34" s="359"/>
      <c r="I34" s="359"/>
      <c r="J34" s="360"/>
      <c r="K34" s="27">
        <f>K56</f>
        <v>0.5</v>
      </c>
      <c r="L34" s="28">
        <f>L56</f>
        <v>2</v>
      </c>
      <c r="M34" s="28">
        <f>M56</f>
        <v>0</v>
      </c>
      <c r="N34" s="29">
        <f>N56</f>
        <v>0</v>
      </c>
    </row>
    <row r="35" spans="1:19" ht="30" customHeight="1" x14ac:dyDescent="0.2">
      <c r="A35" s="358" t="s">
        <v>103</v>
      </c>
      <c r="B35" s="359"/>
      <c r="C35" s="359"/>
      <c r="D35" s="359"/>
      <c r="E35" s="359"/>
      <c r="F35" s="359"/>
      <c r="G35" s="359"/>
      <c r="H35" s="359"/>
      <c r="I35" s="359"/>
      <c r="J35" s="360"/>
      <c r="K35" s="263"/>
      <c r="L35" s="264"/>
      <c r="M35" s="264"/>
      <c r="N35" s="265"/>
    </row>
    <row r="36" spans="1:19" ht="30" customHeight="1" thickBot="1" x14ac:dyDescent="0.25">
      <c r="A36" s="361" t="s">
        <v>107</v>
      </c>
      <c r="B36" s="362"/>
      <c r="C36" s="362"/>
      <c r="D36" s="362"/>
      <c r="E36" s="362"/>
      <c r="F36" s="362"/>
      <c r="G36" s="362"/>
      <c r="H36" s="362"/>
      <c r="I36" s="362"/>
      <c r="J36" s="363"/>
      <c r="K36" s="30">
        <f>K32+K33-K34+K35</f>
        <v>38.5</v>
      </c>
      <c r="L36" s="31">
        <f>L32+L33-L34+L35</f>
        <v>28</v>
      </c>
      <c r="M36" s="31">
        <f>M32+M33-M34+M35</f>
        <v>32</v>
      </c>
      <c r="N36" s="32">
        <f>N32+N33-N34+N35</f>
        <v>40</v>
      </c>
      <c r="P36" s="140"/>
      <c r="Q36" s="140"/>
      <c r="R36" s="140"/>
      <c r="S36" s="140"/>
    </row>
    <row r="37" spans="1:19" ht="30" customHeight="1" thickBot="1" x14ac:dyDescent="0.25">
      <c r="A37" s="354" t="s">
        <v>12</v>
      </c>
      <c r="B37" s="355"/>
      <c r="C37" s="355"/>
      <c r="D37" s="355"/>
      <c r="E37" s="355"/>
      <c r="F37" s="355"/>
      <c r="G37" s="355"/>
      <c r="H37" s="355"/>
      <c r="I37" s="355"/>
      <c r="J37" s="356"/>
      <c r="K37" s="69">
        <f>IF(SUM($K36:$N36) &gt; 0,RANK(K36,$K36:$N36,0), "")</f>
        <v>2</v>
      </c>
      <c r="L37" s="70">
        <f>IF(SUM($K36:$N36) &gt; 0,RANK(L36,$K36:$N36,0), "")</f>
        <v>4</v>
      </c>
      <c r="M37" s="70">
        <f>IF(SUM($K36:$N36) &gt; 0,RANK(M36,$K36:$N36,0), "")</f>
        <v>3</v>
      </c>
      <c r="N37" s="71">
        <f>IF(SUM($K36:$N36) &gt; 0,RANK(N36,$K36:$N36,0), "")</f>
        <v>1</v>
      </c>
    </row>
    <row r="40" spans="1:19" ht="30" customHeight="1" thickBot="1" x14ac:dyDescent="0.25">
      <c r="A40" s="366" t="s">
        <v>20</v>
      </c>
      <c r="B40" s="366"/>
      <c r="C40" s="366"/>
      <c r="D40" s="366"/>
      <c r="E40" s="366"/>
      <c r="F40" s="366"/>
      <c r="G40" s="366"/>
      <c r="H40" s="366"/>
      <c r="I40" s="366"/>
      <c r="J40" s="366"/>
      <c r="K40" s="366"/>
      <c r="L40" s="366"/>
      <c r="M40" s="366"/>
      <c r="N40" s="366"/>
    </row>
    <row r="41" spans="1:19" ht="30" customHeight="1" x14ac:dyDescent="0.2">
      <c r="A41" s="373" t="str">
        <f>IF(A8="","",A8)</f>
        <v>Golden Skaters Waltz</v>
      </c>
      <c r="B41" s="340"/>
      <c r="C41" s="340"/>
      <c r="D41" s="340"/>
      <c r="E41" s="341"/>
      <c r="F41" s="372" t="s">
        <v>18</v>
      </c>
      <c r="G41" s="340"/>
      <c r="H41" s="340"/>
      <c r="I41" s="340"/>
      <c r="J41" s="368"/>
      <c r="K41" s="372" t="s">
        <v>19</v>
      </c>
      <c r="L41" s="340"/>
      <c r="M41" s="340"/>
      <c r="N41" s="341"/>
    </row>
    <row r="42" spans="1:19" ht="30" customHeight="1" thickBot="1" x14ac:dyDescent="0.25">
      <c r="A42" s="344" t="s">
        <v>79</v>
      </c>
      <c r="B42" s="345"/>
      <c r="C42" s="345"/>
      <c r="D42" s="345"/>
      <c r="E42" s="346"/>
      <c r="F42" s="19" t="s">
        <v>1</v>
      </c>
      <c r="G42" s="19" t="s">
        <v>2</v>
      </c>
      <c r="H42" s="19" t="s">
        <v>3</v>
      </c>
      <c r="I42" s="170" t="s">
        <v>4</v>
      </c>
      <c r="J42" s="369"/>
      <c r="K42" s="19" t="s">
        <v>1</v>
      </c>
      <c r="L42" s="19" t="s">
        <v>2</v>
      </c>
      <c r="M42" s="19" t="s">
        <v>3</v>
      </c>
      <c r="N42" s="146" t="s">
        <v>4</v>
      </c>
    </row>
    <row r="43" spans="1:19" ht="30" customHeight="1" x14ac:dyDescent="0.2">
      <c r="A43" s="42" t="str">
        <f t="shared" ref="A43:A48" si="18">IF(A10="","",A10)</f>
        <v/>
      </c>
      <c r="B43" s="132" t="s">
        <v>1</v>
      </c>
      <c r="C43" s="147" t="s">
        <v>9</v>
      </c>
      <c r="D43" s="133" t="s">
        <v>2</v>
      </c>
      <c r="E43" s="151" t="str">
        <f t="shared" ref="E43:E48" si="19">IF(E10="","",E10)</f>
        <v/>
      </c>
      <c r="F43" s="148" t="str">
        <f t="shared" ref="F43:F48" si="20">IF(OR(AND($A43&lt;&gt;"",$B43="A"),AND($D43="A",$E43&lt;&gt;"")),K10,"")</f>
        <v/>
      </c>
      <c r="G43" s="34" t="str">
        <f t="shared" ref="G43:G48" si="21">IF(OR(AND($A43&lt;&gt;"",$B43="B"),AND($D43="B",$E43&lt;&gt;"")),L10,"")</f>
        <v/>
      </c>
      <c r="H43" s="34" t="str">
        <f t="shared" ref="H43:H48" si="22">IF(OR(AND($A43&lt;&gt;"",$B43="C"),AND($D43="C",$E43&lt;&gt;"")),M10,"")</f>
        <v/>
      </c>
      <c r="I43" s="171" t="str">
        <f t="shared" ref="I43:I48" si="23">IF(OR(AND($A43&lt;&gt;"",$B43="D"),AND($D43="D",$E43&lt;&gt;"")),N10,"")</f>
        <v/>
      </c>
      <c r="J43" s="369"/>
      <c r="K43" s="174" t="str">
        <f t="shared" ref="K43:K48" si="24">IF(F43&lt;&gt;"",F43*IF($B43="A",$A43/100,1)*IF($D43="A",$E43/100,1),"")</f>
        <v/>
      </c>
      <c r="L43" s="35" t="str">
        <f t="shared" ref="L43:L48" si="25">IF(G43&lt;&gt;"",G43*IF($B43="B",$A43/100,1)*IF($D43="B",$E43/100,1),"")</f>
        <v/>
      </c>
      <c r="M43" s="35" t="str">
        <f t="shared" ref="M43:M48" si="26">IF(H43&lt;&gt;"",H43*IF($B43="C",$A43/100,1)*IF($D43="C",$E43/100,1),"")</f>
        <v/>
      </c>
      <c r="N43" s="36" t="str">
        <f t="shared" ref="N43:N48" si="27">IF(I43&lt;&gt;"",I43*IF($B43="D",$A43/100,1)*IF($D43="D",$E43/100,1),"")</f>
        <v/>
      </c>
    </row>
    <row r="44" spans="1:19" ht="30" customHeight="1" x14ac:dyDescent="0.2">
      <c r="A44" s="37" t="str">
        <f t="shared" si="18"/>
        <v/>
      </c>
      <c r="B44" s="132" t="s">
        <v>4</v>
      </c>
      <c r="C44" s="147" t="s">
        <v>9</v>
      </c>
      <c r="D44" s="133" t="s">
        <v>3</v>
      </c>
      <c r="E44" s="152" t="str">
        <f t="shared" si="19"/>
        <v/>
      </c>
      <c r="F44" s="149" t="str">
        <f t="shared" si="20"/>
        <v/>
      </c>
      <c r="G44" s="38" t="str">
        <f t="shared" si="21"/>
        <v/>
      </c>
      <c r="H44" s="38" t="str">
        <f t="shared" si="22"/>
        <v/>
      </c>
      <c r="I44" s="172" t="str">
        <f t="shared" si="23"/>
        <v/>
      </c>
      <c r="J44" s="369"/>
      <c r="K44" s="28" t="str">
        <f t="shared" si="24"/>
        <v/>
      </c>
      <c r="L44" s="39" t="str">
        <f t="shared" si="25"/>
        <v/>
      </c>
      <c r="M44" s="39" t="str">
        <f t="shared" si="26"/>
        <v/>
      </c>
      <c r="N44" s="40" t="str">
        <f t="shared" si="27"/>
        <v/>
      </c>
    </row>
    <row r="45" spans="1:19" ht="30" customHeight="1" x14ac:dyDescent="0.2">
      <c r="A45" s="37" t="str">
        <f t="shared" si="18"/>
        <v/>
      </c>
      <c r="B45" s="132" t="s">
        <v>2</v>
      </c>
      <c r="C45" s="147" t="s">
        <v>9</v>
      </c>
      <c r="D45" s="133" t="s">
        <v>3</v>
      </c>
      <c r="E45" s="152" t="str">
        <f t="shared" si="19"/>
        <v/>
      </c>
      <c r="F45" s="149" t="str">
        <f t="shared" si="20"/>
        <v/>
      </c>
      <c r="G45" s="38" t="str">
        <f t="shared" si="21"/>
        <v/>
      </c>
      <c r="H45" s="38" t="str">
        <f t="shared" si="22"/>
        <v/>
      </c>
      <c r="I45" s="172" t="str">
        <f t="shared" si="23"/>
        <v/>
      </c>
      <c r="J45" s="369"/>
      <c r="K45" s="28" t="str">
        <f t="shared" si="24"/>
        <v/>
      </c>
      <c r="L45" s="39" t="str">
        <f t="shared" si="25"/>
        <v/>
      </c>
      <c r="M45" s="39" t="str">
        <f t="shared" si="26"/>
        <v/>
      </c>
      <c r="N45" s="40" t="str">
        <f t="shared" si="27"/>
        <v/>
      </c>
    </row>
    <row r="46" spans="1:19" ht="30" customHeight="1" x14ac:dyDescent="0.2">
      <c r="A46" s="37" t="str">
        <f t="shared" si="18"/>
        <v/>
      </c>
      <c r="B46" s="132" t="s">
        <v>1</v>
      </c>
      <c r="C46" s="147" t="s">
        <v>9</v>
      </c>
      <c r="D46" s="133" t="s">
        <v>4</v>
      </c>
      <c r="E46" s="152" t="str">
        <f t="shared" si="19"/>
        <v/>
      </c>
      <c r="F46" s="149" t="str">
        <f t="shared" si="20"/>
        <v/>
      </c>
      <c r="G46" s="38" t="str">
        <f t="shared" si="21"/>
        <v/>
      </c>
      <c r="H46" s="38" t="str">
        <f t="shared" si="22"/>
        <v/>
      </c>
      <c r="I46" s="172" t="str">
        <f t="shared" si="23"/>
        <v/>
      </c>
      <c r="J46" s="369"/>
      <c r="K46" s="28" t="str">
        <f t="shared" si="24"/>
        <v/>
      </c>
      <c r="L46" s="39" t="str">
        <f t="shared" si="25"/>
        <v/>
      </c>
      <c r="M46" s="39" t="str">
        <f t="shared" si="26"/>
        <v/>
      </c>
      <c r="N46" s="40" t="str">
        <f t="shared" si="27"/>
        <v/>
      </c>
    </row>
    <row r="47" spans="1:19" ht="30" customHeight="1" x14ac:dyDescent="0.2">
      <c r="A47" s="37" t="str">
        <f t="shared" si="18"/>
        <v/>
      </c>
      <c r="B47" s="132" t="s">
        <v>4</v>
      </c>
      <c r="C47" s="147" t="s">
        <v>9</v>
      </c>
      <c r="D47" s="133" t="s">
        <v>2</v>
      </c>
      <c r="E47" s="152">
        <f t="shared" si="19"/>
        <v>25</v>
      </c>
      <c r="F47" s="149" t="str">
        <f t="shared" si="20"/>
        <v/>
      </c>
      <c r="G47" s="38">
        <f t="shared" si="21"/>
        <v>2</v>
      </c>
      <c r="H47" s="38" t="str">
        <f t="shared" si="22"/>
        <v/>
      </c>
      <c r="I47" s="172" t="str">
        <f t="shared" si="23"/>
        <v/>
      </c>
      <c r="J47" s="369"/>
      <c r="K47" s="28" t="str">
        <f t="shared" si="24"/>
        <v/>
      </c>
      <c r="L47" s="39">
        <f t="shared" si="25"/>
        <v>0.5</v>
      </c>
      <c r="M47" s="39" t="str">
        <f t="shared" si="26"/>
        <v/>
      </c>
      <c r="N47" s="40" t="str">
        <f t="shared" si="27"/>
        <v/>
      </c>
    </row>
    <row r="48" spans="1:19" ht="30" customHeight="1" thickBot="1" x14ac:dyDescent="0.25">
      <c r="A48" s="46" t="str">
        <f t="shared" si="18"/>
        <v/>
      </c>
      <c r="B48" s="135" t="s">
        <v>3</v>
      </c>
      <c r="C48" s="153" t="s">
        <v>9</v>
      </c>
      <c r="D48" s="136" t="s">
        <v>1</v>
      </c>
      <c r="E48" s="154" t="str">
        <f t="shared" si="19"/>
        <v/>
      </c>
      <c r="F48" s="150" t="str">
        <f t="shared" si="20"/>
        <v/>
      </c>
      <c r="G48" s="41" t="str">
        <f t="shared" si="21"/>
        <v/>
      </c>
      <c r="H48" s="41" t="str">
        <f t="shared" si="22"/>
        <v/>
      </c>
      <c r="I48" s="173" t="str">
        <f t="shared" si="23"/>
        <v/>
      </c>
      <c r="J48" s="370"/>
      <c r="K48" s="175" t="str">
        <f t="shared" si="24"/>
        <v/>
      </c>
      <c r="L48" s="31" t="str">
        <f t="shared" si="25"/>
        <v/>
      </c>
      <c r="M48" s="31" t="str">
        <f t="shared" si="26"/>
        <v/>
      </c>
      <c r="N48" s="32" t="str">
        <f t="shared" si="27"/>
        <v/>
      </c>
    </row>
    <row r="49" spans="1:14" ht="30" customHeight="1" thickBot="1" x14ac:dyDescent="0.25">
      <c r="A49" s="367" t="str">
        <f>IF(A19="","",A19)</f>
        <v>Riverside Rhumba</v>
      </c>
      <c r="B49" s="355"/>
      <c r="C49" s="355"/>
      <c r="D49" s="355"/>
      <c r="E49" s="355"/>
      <c r="F49" s="355"/>
      <c r="G49" s="355"/>
      <c r="H49" s="355"/>
      <c r="I49" s="355"/>
      <c r="J49" s="355"/>
      <c r="K49" s="355"/>
      <c r="L49" s="355"/>
      <c r="M49" s="355"/>
      <c r="N49" s="356"/>
    </row>
    <row r="50" spans="1:14" ht="30" customHeight="1" x14ac:dyDescent="0.2">
      <c r="A50" s="33">
        <f t="shared" ref="A50:A55" si="28">IF(A21="","",A21)</f>
        <v>25</v>
      </c>
      <c r="B50" s="185" t="s">
        <v>1</v>
      </c>
      <c r="C50" s="186" t="s">
        <v>9</v>
      </c>
      <c r="D50" s="187" t="s">
        <v>2</v>
      </c>
      <c r="E50" s="184" t="str">
        <f t="shared" ref="E50:E55" si="29">IF(E21="","",E21)</f>
        <v/>
      </c>
      <c r="F50" s="179">
        <f t="shared" ref="F50:F55" si="30">IF(OR(AND($A50&lt;&gt;"",$B50="A"),AND($D50="A",$E50&lt;&gt;"")),K21,"")</f>
        <v>2</v>
      </c>
      <c r="G50" s="43" t="str">
        <f t="shared" ref="G50:G55" si="31">IF(OR(AND($A50&lt;&gt;"",$B50="B"),AND($D50="B",$E50&lt;&gt;"")),L21,"")</f>
        <v/>
      </c>
      <c r="H50" s="43" t="str">
        <f t="shared" ref="H50:H55" si="32">IF(OR(AND($A50&lt;&gt;"",$B50="C"),AND($D50="C",$E50&lt;&gt;"")),M21,"")</f>
        <v/>
      </c>
      <c r="I50" s="176" t="str">
        <f t="shared" ref="I50:I55" si="33">IF(OR(AND($A50&lt;&gt;"",$B50="D"),AND($D50="D",$E50&lt;&gt;"")),N21,"")</f>
        <v/>
      </c>
      <c r="J50" s="371"/>
      <c r="K50" s="178">
        <f t="shared" ref="K50:K55" si="34">IF(F50&lt;&gt;"",F50*IF($B50="A",$A50/100,1)*IF($D50="A",$E50/100,1),"")</f>
        <v>0.5</v>
      </c>
      <c r="L50" s="44" t="str">
        <f t="shared" ref="L50:L55" si="35">IF(G50&lt;&gt;"",G50*IF($B50="B",$A50/100,1)*IF($D50="B",$E50/100,1),"")</f>
        <v/>
      </c>
      <c r="M50" s="44" t="str">
        <f t="shared" ref="M50:M55" si="36">IF(H50&lt;&gt;"",H50*IF($B50="C",$A50/100,1)*IF($D50="C",$E50/100,1),"")</f>
        <v/>
      </c>
      <c r="N50" s="45" t="str">
        <f t="shared" ref="N50:N55" si="37">IF(I50&lt;&gt;"",I50*IF($B50="D",$A50/100,1)*IF($D50="D",$E50/100,1),"")</f>
        <v/>
      </c>
    </row>
    <row r="51" spans="1:14" ht="30" customHeight="1" x14ac:dyDescent="0.2">
      <c r="A51" s="37" t="str">
        <f t="shared" si="28"/>
        <v/>
      </c>
      <c r="B51" s="132" t="s">
        <v>4</v>
      </c>
      <c r="C51" s="147" t="s">
        <v>9</v>
      </c>
      <c r="D51" s="133" t="s">
        <v>3</v>
      </c>
      <c r="E51" s="152" t="str">
        <f t="shared" si="29"/>
        <v/>
      </c>
      <c r="F51" s="149" t="str">
        <f t="shared" si="30"/>
        <v/>
      </c>
      <c r="G51" s="38" t="str">
        <f t="shared" si="31"/>
        <v/>
      </c>
      <c r="H51" s="38" t="str">
        <f t="shared" si="32"/>
        <v/>
      </c>
      <c r="I51" s="172" t="str">
        <f t="shared" si="33"/>
        <v/>
      </c>
      <c r="J51" s="369"/>
      <c r="K51" s="28" t="str">
        <f t="shared" si="34"/>
        <v/>
      </c>
      <c r="L51" s="39" t="str">
        <f t="shared" si="35"/>
        <v/>
      </c>
      <c r="M51" s="39" t="str">
        <f t="shared" si="36"/>
        <v/>
      </c>
      <c r="N51" s="40" t="str">
        <f t="shared" si="37"/>
        <v/>
      </c>
    </row>
    <row r="52" spans="1:14" ht="30" customHeight="1" x14ac:dyDescent="0.2">
      <c r="A52" s="37" t="str">
        <f t="shared" si="28"/>
        <v/>
      </c>
      <c r="B52" s="132" t="s">
        <v>2</v>
      </c>
      <c r="C52" s="147" t="s">
        <v>9</v>
      </c>
      <c r="D52" s="133" t="s">
        <v>3</v>
      </c>
      <c r="E52" s="152" t="str">
        <f t="shared" si="29"/>
        <v/>
      </c>
      <c r="F52" s="149" t="str">
        <f t="shared" si="30"/>
        <v/>
      </c>
      <c r="G52" s="38" t="str">
        <f t="shared" si="31"/>
        <v/>
      </c>
      <c r="H52" s="38" t="str">
        <f t="shared" si="32"/>
        <v/>
      </c>
      <c r="I52" s="172" t="str">
        <f t="shared" si="33"/>
        <v/>
      </c>
      <c r="J52" s="369"/>
      <c r="K52" s="28" t="str">
        <f t="shared" si="34"/>
        <v/>
      </c>
      <c r="L52" s="39" t="str">
        <f t="shared" si="35"/>
        <v/>
      </c>
      <c r="M52" s="39" t="str">
        <f t="shared" si="36"/>
        <v/>
      </c>
      <c r="N52" s="40" t="str">
        <f t="shared" si="37"/>
        <v/>
      </c>
    </row>
    <row r="53" spans="1:14" ht="30" customHeight="1" x14ac:dyDescent="0.2">
      <c r="A53" s="37" t="str">
        <f t="shared" si="28"/>
        <v/>
      </c>
      <c r="B53" s="132" t="s">
        <v>1</v>
      </c>
      <c r="C53" s="147" t="s">
        <v>9</v>
      </c>
      <c r="D53" s="133" t="s">
        <v>4</v>
      </c>
      <c r="E53" s="152" t="str">
        <f t="shared" si="29"/>
        <v/>
      </c>
      <c r="F53" s="149" t="str">
        <f t="shared" si="30"/>
        <v/>
      </c>
      <c r="G53" s="38" t="str">
        <f t="shared" si="31"/>
        <v/>
      </c>
      <c r="H53" s="38" t="str">
        <f t="shared" si="32"/>
        <v/>
      </c>
      <c r="I53" s="172" t="str">
        <f t="shared" si="33"/>
        <v/>
      </c>
      <c r="J53" s="369"/>
      <c r="K53" s="28" t="str">
        <f t="shared" si="34"/>
        <v/>
      </c>
      <c r="L53" s="39" t="str">
        <f t="shared" si="35"/>
        <v/>
      </c>
      <c r="M53" s="39" t="str">
        <f t="shared" si="36"/>
        <v/>
      </c>
      <c r="N53" s="40" t="str">
        <f t="shared" si="37"/>
        <v/>
      </c>
    </row>
    <row r="54" spans="1:14" ht="30" customHeight="1" x14ac:dyDescent="0.2">
      <c r="A54" s="37" t="str">
        <f t="shared" si="28"/>
        <v/>
      </c>
      <c r="B54" s="132" t="s">
        <v>4</v>
      </c>
      <c r="C54" s="147" t="s">
        <v>9</v>
      </c>
      <c r="D54" s="133" t="s">
        <v>2</v>
      </c>
      <c r="E54" s="152">
        <f t="shared" si="29"/>
        <v>25</v>
      </c>
      <c r="F54" s="149" t="str">
        <f t="shared" si="30"/>
        <v/>
      </c>
      <c r="G54" s="38">
        <f t="shared" si="31"/>
        <v>6</v>
      </c>
      <c r="H54" s="38" t="str">
        <f t="shared" si="32"/>
        <v/>
      </c>
      <c r="I54" s="172" t="str">
        <f t="shared" si="33"/>
        <v/>
      </c>
      <c r="J54" s="369"/>
      <c r="K54" s="28" t="str">
        <f t="shared" si="34"/>
        <v/>
      </c>
      <c r="L54" s="39">
        <f t="shared" si="35"/>
        <v>1.5</v>
      </c>
      <c r="M54" s="39" t="str">
        <f t="shared" si="36"/>
        <v/>
      </c>
      <c r="N54" s="40" t="str">
        <f t="shared" si="37"/>
        <v/>
      </c>
    </row>
    <row r="55" spans="1:14" ht="30" customHeight="1" thickBot="1" x14ac:dyDescent="0.25">
      <c r="A55" s="46" t="str">
        <f t="shared" si="28"/>
        <v/>
      </c>
      <c r="B55" s="135" t="s">
        <v>3</v>
      </c>
      <c r="C55" s="153" t="s">
        <v>9</v>
      </c>
      <c r="D55" s="136" t="s">
        <v>1</v>
      </c>
      <c r="E55" s="154" t="str">
        <f t="shared" si="29"/>
        <v/>
      </c>
      <c r="F55" s="180" t="str">
        <f t="shared" si="30"/>
        <v/>
      </c>
      <c r="G55" s="47" t="str">
        <f t="shared" si="31"/>
        <v/>
      </c>
      <c r="H55" s="47" t="str">
        <f t="shared" si="32"/>
        <v/>
      </c>
      <c r="I55" s="177" t="str">
        <f t="shared" si="33"/>
        <v/>
      </c>
      <c r="J55" s="370"/>
      <c r="K55" s="175" t="str">
        <f t="shared" si="34"/>
        <v/>
      </c>
      <c r="L55" s="31" t="str">
        <f t="shared" si="35"/>
        <v/>
      </c>
      <c r="M55" s="31" t="str">
        <f t="shared" si="36"/>
        <v/>
      </c>
      <c r="N55" s="32" t="str">
        <f t="shared" si="37"/>
        <v/>
      </c>
    </row>
    <row r="56" spans="1:14" ht="30" customHeight="1" thickBot="1" x14ac:dyDescent="0.25">
      <c r="A56" s="354" t="s">
        <v>16</v>
      </c>
      <c r="B56" s="355"/>
      <c r="C56" s="355"/>
      <c r="D56" s="355"/>
      <c r="E56" s="355"/>
      <c r="F56" s="355"/>
      <c r="G56" s="355"/>
      <c r="H56" s="355"/>
      <c r="I56" s="355"/>
      <c r="J56" s="356"/>
      <c r="K56" s="48">
        <f>SUM(K43:K55)</f>
        <v>0.5</v>
      </c>
      <c r="L56" s="49">
        <f>SUM(L43:L55)</f>
        <v>2</v>
      </c>
      <c r="M56" s="49">
        <f>SUM(M43:M55)</f>
        <v>0</v>
      </c>
      <c r="N56" s="50">
        <f>SUM(N43:N55)</f>
        <v>0</v>
      </c>
    </row>
  </sheetData>
  <sheetProtection password="CAEF" sheet="1" objects="1" scenarios="1" selectLockedCells="1"/>
  <mergeCells count="28">
    <mergeCell ref="A40:N40"/>
    <mergeCell ref="A56:J56"/>
    <mergeCell ref="A49:N49"/>
    <mergeCell ref="J41:J48"/>
    <mergeCell ref="J50:J55"/>
    <mergeCell ref="K41:N41"/>
    <mergeCell ref="A41:E41"/>
    <mergeCell ref="F41:I41"/>
    <mergeCell ref="A42:E42"/>
    <mergeCell ref="A37:J37"/>
    <mergeCell ref="A31:J31"/>
    <mergeCell ref="A33:J33"/>
    <mergeCell ref="A36:J36"/>
    <mergeCell ref="F19:J19"/>
    <mergeCell ref="A27:J27"/>
    <mergeCell ref="A32:J32"/>
    <mergeCell ref="A35:J35"/>
    <mergeCell ref="A34:J34"/>
    <mergeCell ref="K19:N19"/>
    <mergeCell ref="K8:N8"/>
    <mergeCell ref="P19:T19"/>
    <mergeCell ref="A20:E20"/>
    <mergeCell ref="F8:J8"/>
    <mergeCell ref="A8:E8"/>
    <mergeCell ref="A9:E9"/>
    <mergeCell ref="P8:T8"/>
    <mergeCell ref="A16:J16"/>
    <mergeCell ref="A19:E19"/>
  </mergeCells>
  <phoneticPr fontId="0" type="noConversion"/>
  <conditionalFormatting sqref="F10:J15 F21:J26">
    <cfRule type="expression" dxfId="20" priority="1" stopIfTrue="1">
      <formula>AND(NOT(F10=""),NOT(F10=$B10),NOT(F10=$D10),NOT(F10="X"))</formula>
    </cfRule>
  </conditionalFormatting>
  <conditionalFormatting sqref="A21:A26 A10:A15 E10:E15 E21:E26">
    <cfRule type="expression" dxfId="19" priority="2" stopIfTrue="1">
      <formula>AND(NOT(A10=""),NOT(A10=25),NOT(A10=50))</formula>
    </cfRule>
  </conditionalFormatting>
  <conditionalFormatting sqref="K33:N33">
    <cfRule type="expression" dxfId="18" priority="3" stopIfTrue="1">
      <formula>AND(K33&lt;&gt;"",OR(K33&lt;2,K33&gt;18))</formula>
    </cfRule>
  </conditionalFormatting>
  <conditionalFormatting sqref="K37:N37">
    <cfRule type="cellIs" dxfId="17" priority="4" stopIfTrue="1" operator="equal">
      <formula>1</formula>
    </cfRule>
    <cfRule type="cellIs" dxfId="16" priority="5" stopIfTrue="1" operator="equal">
      <formula>2</formula>
    </cfRule>
    <cfRule type="cellIs" dxfId="15" priority="6" stopIfTrue="1" operator="equal">
      <formula>3</formula>
    </cfRule>
  </conditionalFormatting>
  <pageMargins left="0.53" right="0.47" top="1" bottom="1" header="0.5" footer="0.5"/>
  <pageSetup paperSize="9" scale="69" orientation="portrait" r:id="rId1"/>
  <headerFooter alignWithMargins="0">
    <oddHeader>&amp;L&amp;"Arial,Bold"&amp;26RIDL Final</oddHeader>
  </headerFooter>
  <ignoredErrors>
    <ignoredError sqref="A19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T56"/>
  <sheetViews>
    <sheetView showGridLines="0" showRowColHeaders="0" zoomScale="50" zoomScaleNormal="50" workbookViewId="0">
      <selection activeCell="F24" sqref="F24"/>
    </sheetView>
  </sheetViews>
  <sheetFormatPr defaultColWidth="8.85546875" defaultRowHeight="12.75" x14ac:dyDescent="0.2"/>
  <cols>
    <col min="1" max="1" width="12.7109375" style="3" customWidth="1"/>
    <col min="2" max="2" width="4.85546875" style="3" customWidth="1"/>
    <col min="3" max="3" width="3.28515625" style="3" customWidth="1"/>
    <col min="4" max="4" width="5.42578125" style="3" customWidth="1"/>
    <col min="5" max="5" width="12.7109375" style="3" customWidth="1"/>
    <col min="6" max="14" width="10.7109375" style="3" customWidth="1"/>
    <col min="15" max="16384" width="8.85546875" style="3"/>
  </cols>
  <sheetData>
    <row r="1" spans="1:20" ht="30" customHeight="1" x14ac:dyDescent="0.2">
      <c r="A1" s="158" t="s">
        <v>22</v>
      </c>
    </row>
    <row r="2" spans="1:20" s="139" customFormat="1" ht="30" customHeight="1" x14ac:dyDescent="0.2">
      <c r="A2" s="51"/>
      <c r="B2" s="52"/>
      <c r="C2" s="52"/>
      <c r="D2" s="52"/>
      <c r="E2" s="52"/>
      <c r="F2" s="52"/>
      <c r="G2" s="52"/>
    </row>
    <row r="3" spans="1:20" s="143" customFormat="1" ht="30" customHeight="1" x14ac:dyDescent="0.2">
      <c r="A3" s="141" t="s">
        <v>27</v>
      </c>
      <c r="B3" s="142" t="str">
        <f>IF(Master!B3="","",Master!B3)</f>
        <v>Solihull</v>
      </c>
      <c r="C3" s="142"/>
      <c r="K3" s="144" t="s">
        <v>1</v>
      </c>
      <c r="L3" s="247" t="str">
        <f>VLOOKUP(K3,Master!A26:B29,2,FALSE)</f>
        <v>South East</v>
      </c>
      <c r="M3" s="248"/>
      <c r="N3" s="248"/>
    </row>
    <row r="4" spans="1:20" s="143" customFormat="1" ht="30" customHeight="1" x14ac:dyDescent="0.2">
      <c r="A4" s="141" t="s">
        <v>28</v>
      </c>
      <c r="B4" s="142" t="str">
        <f>IF(Master!B4="","",Master!B4)</f>
        <v>10th September 2016</v>
      </c>
      <c r="C4" s="142"/>
      <c r="F4" s="142"/>
      <c r="K4" s="144" t="s">
        <v>2</v>
      </c>
      <c r="L4" s="247" t="str">
        <f>VLOOKUP(K4,Master!A26:B29,2,FALSE)</f>
        <v>South Central</v>
      </c>
      <c r="M4" s="248"/>
      <c r="N4" s="248"/>
    </row>
    <row r="5" spans="1:20" s="143" customFormat="1" ht="30" customHeight="1" x14ac:dyDescent="0.2">
      <c r="A5" s="141"/>
      <c r="B5" s="142"/>
      <c r="C5" s="142"/>
      <c r="F5" s="142"/>
      <c r="K5" s="144" t="s">
        <v>3</v>
      </c>
      <c r="L5" s="247" t="str">
        <f>VLOOKUP(K5,Master!A26:B29,2,FALSE)</f>
        <v>South West</v>
      </c>
      <c r="M5" s="248"/>
      <c r="N5" s="248"/>
    </row>
    <row r="6" spans="1:20" s="143" customFormat="1" ht="30" customHeight="1" x14ac:dyDescent="0.2">
      <c r="A6" s="145" t="s">
        <v>87</v>
      </c>
      <c r="B6" s="144"/>
      <c r="K6" s="144" t="s">
        <v>4</v>
      </c>
      <c r="L6" s="247" t="str">
        <f>VLOOKUP(K6,Master!A26:B29,2,FALSE)</f>
        <v>North</v>
      </c>
      <c r="M6" s="248"/>
      <c r="N6" s="248"/>
    </row>
    <row r="7" spans="1:20" ht="13.5" thickBot="1" x14ac:dyDescent="0.25"/>
    <row r="8" spans="1:20" ht="30" customHeight="1" x14ac:dyDescent="0.2">
      <c r="A8" s="409" t="str">
        <f>Master!$B$15</f>
        <v>Prelim Waltz</v>
      </c>
      <c r="B8" s="410"/>
      <c r="C8" s="410"/>
      <c r="D8" s="410"/>
      <c r="E8" s="411"/>
      <c r="F8" s="339" t="s">
        <v>6</v>
      </c>
      <c r="G8" s="372"/>
      <c r="H8" s="372"/>
      <c r="I8" s="372"/>
      <c r="J8" s="395"/>
      <c r="K8" s="339" t="s">
        <v>7</v>
      </c>
      <c r="L8" s="372"/>
      <c r="M8" s="372"/>
      <c r="N8" s="395"/>
      <c r="P8" s="404" t="s">
        <v>10</v>
      </c>
      <c r="Q8" s="405"/>
      <c r="R8" s="405"/>
      <c r="S8" s="405"/>
      <c r="T8" s="406"/>
    </row>
    <row r="9" spans="1:20" ht="30" customHeight="1" x14ac:dyDescent="0.2">
      <c r="A9" s="344" t="s">
        <v>79</v>
      </c>
      <c r="B9" s="407"/>
      <c r="C9" s="407"/>
      <c r="D9" s="407"/>
      <c r="E9" s="408"/>
      <c r="F9" s="9">
        <v>1</v>
      </c>
      <c r="G9" s="7">
        <v>2</v>
      </c>
      <c r="H9" s="7">
        <v>3</v>
      </c>
      <c r="I9" s="7">
        <v>4</v>
      </c>
      <c r="J9" s="14">
        <v>5</v>
      </c>
      <c r="K9" s="9" t="s">
        <v>1</v>
      </c>
      <c r="L9" s="7" t="s">
        <v>2</v>
      </c>
      <c r="M9" s="7" t="s">
        <v>3</v>
      </c>
      <c r="N9" s="14" t="s">
        <v>4</v>
      </c>
      <c r="P9" s="4" t="s">
        <v>1</v>
      </c>
      <c r="Q9" s="4" t="s">
        <v>2</v>
      </c>
      <c r="R9" s="4" t="s">
        <v>3</v>
      </c>
      <c r="S9" s="4" t="s">
        <v>4</v>
      </c>
      <c r="T9" s="5" t="s">
        <v>11</v>
      </c>
    </row>
    <row r="10" spans="1:20" ht="30" customHeight="1" x14ac:dyDescent="0.2">
      <c r="A10" s="159"/>
      <c r="B10" s="155" t="s">
        <v>1</v>
      </c>
      <c r="C10" s="156" t="s">
        <v>9</v>
      </c>
      <c r="D10" s="157" t="s">
        <v>2</v>
      </c>
      <c r="E10" s="134"/>
      <c r="F10" s="6" t="s">
        <v>2</v>
      </c>
      <c r="G10" s="8" t="s">
        <v>2</v>
      </c>
      <c r="H10" s="8" t="s">
        <v>2</v>
      </c>
      <c r="I10" s="251" t="s">
        <v>102</v>
      </c>
      <c r="J10" s="134" t="s">
        <v>102</v>
      </c>
      <c r="K10" s="9">
        <f t="shared" ref="K10:K15" si="0">IF(OR(F10="",G10="",H10="",I10="",J10=""),"",IF(OR($B10="A",$D10="A"),IF(P10=(Q10+R10+S10),4,IF(P10&gt;(Q10+R10+S10),6,2)),""))</f>
        <v>2</v>
      </c>
      <c r="L10" s="7">
        <f t="shared" ref="L10:L15" si="1">IF(OR(F10="",G10="",H10="",I10="",J10=""),"",IF(OR($B10="B",$D10="B"),IF(Q10=(P10+R10+S10),4,IF(Q10&gt;(P10+R10+S10),6,2)),""))</f>
        <v>6</v>
      </c>
      <c r="M10" s="10" t="str">
        <f t="shared" ref="M10:M15" si="2">IF(OR(F10="",G10="",H10="",I10="",J10=""),"",IF(OR($B10="C",$D10="C"),IF(R10=(P10+Q10+S10),4,IF(R10&gt;(P10+Q10+S10),6,2)),""))</f>
        <v/>
      </c>
      <c r="N10" s="11" t="str">
        <f t="shared" ref="N10:N15" si="3">IF(OR(F10="",G10="",H10="",I10="",J10=""),"",IF(OR($B10="D",$D10="D"),IF(S10=(P10+Q10+R10),4,IF(S10&gt;(P10+Q10+R10),6,2)),""))</f>
        <v/>
      </c>
      <c r="P10" s="12">
        <f t="shared" ref="P10:P15" si="4">IF($F10="A",1,0)+IF($G10="A",1,0)+IF($H10="A",1,0)+IF($I10="A",1,0)+IF($J10="A",1,0)</f>
        <v>0</v>
      </c>
      <c r="Q10" s="12">
        <f t="shared" ref="Q10:Q15" si="5">IF($F10="B",1,0)+IF($G10="B",1,0)+IF($H10="B",1,0)+IF($I10="B",1,0)+IF($J10="B",1,0)</f>
        <v>3</v>
      </c>
      <c r="R10" s="12">
        <f t="shared" ref="R10:R15" si="6">IF($F10="C",1,0)+IF($G10="C",1,0)+IF($H10="C",1,0)+IF($I10="C",1,0)+IF($J10="C",1,0)</f>
        <v>0</v>
      </c>
      <c r="S10" s="12">
        <f t="shared" ref="S10:S15" si="7">IF($F10="D",1,0)+IF($G10="D",1,0)+IF($H10="D",1,0)+IF($I10="D",1,0)+IF($J10="D",1,0)</f>
        <v>0</v>
      </c>
      <c r="T10" s="12">
        <f t="shared" ref="T10:T15" si="8">IF($F10="X",1,0)+IF($G10="X",1,0)+IF($H10="X",1,0)+IF($I10="X",1,0)+IF($J10="X",1,0)</f>
        <v>2</v>
      </c>
    </row>
    <row r="11" spans="1:20" ht="30" customHeight="1" x14ac:dyDescent="0.2">
      <c r="A11" s="159"/>
      <c r="B11" s="155" t="s">
        <v>4</v>
      </c>
      <c r="C11" s="156" t="s">
        <v>9</v>
      </c>
      <c r="D11" s="157" t="s">
        <v>3</v>
      </c>
      <c r="E11" s="134"/>
      <c r="F11" s="6" t="s">
        <v>4</v>
      </c>
      <c r="G11" s="8" t="s">
        <v>4</v>
      </c>
      <c r="H11" s="8" t="s">
        <v>3</v>
      </c>
      <c r="I11" s="251" t="s">
        <v>102</v>
      </c>
      <c r="J11" s="134" t="s">
        <v>102</v>
      </c>
      <c r="K11" s="13" t="str">
        <f t="shared" si="0"/>
        <v/>
      </c>
      <c r="L11" s="10" t="str">
        <f t="shared" si="1"/>
        <v/>
      </c>
      <c r="M11" s="7">
        <f t="shared" si="2"/>
        <v>2</v>
      </c>
      <c r="N11" s="14">
        <f t="shared" si="3"/>
        <v>6</v>
      </c>
      <c r="P11" s="12">
        <f t="shared" si="4"/>
        <v>0</v>
      </c>
      <c r="Q11" s="12">
        <f t="shared" si="5"/>
        <v>0</v>
      </c>
      <c r="R11" s="12">
        <f t="shared" si="6"/>
        <v>1</v>
      </c>
      <c r="S11" s="12">
        <f t="shared" si="7"/>
        <v>2</v>
      </c>
      <c r="T11" s="12">
        <f t="shared" si="8"/>
        <v>2</v>
      </c>
    </row>
    <row r="12" spans="1:20" ht="30" customHeight="1" x14ac:dyDescent="0.2">
      <c r="A12" s="219" t="str">
        <f>VLOOKUP(B12,Lookup!C$14:I$17,2,FALSE)</f>
        <v/>
      </c>
      <c r="B12" s="132" t="s">
        <v>2</v>
      </c>
      <c r="C12" s="147" t="s">
        <v>9</v>
      </c>
      <c r="D12" s="133" t="s">
        <v>3</v>
      </c>
      <c r="E12" s="220" t="str">
        <f>VLOOKUP(D12,Lookup!C$14:I$17,2,FALSE)</f>
        <v/>
      </c>
      <c r="F12" s="6" t="s">
        <v>3</v>
      </c>
      <c r="G12" s="8" t="s">
        <v>3</v>
      </c>
      <c r="H12" s="8" t="s">
        <v>3</v>
      </c>
      <c r="I12" s="251" t="s">
        <v>102</v>
      </c>
      <c r="J12" s="134" t="s">
        <v>102</v>
      </c>
      <c r="K12" s="13" t="str">
        <f t="shared" si="0"/>
        <v/>
      </c>
      <c r="L12" s="7">
        <f t="shared" si="1"/>
        <v>2</v>
      </c>
      <c r="M12" s="7">
        <f t="shared" si="2"/>
        <v>6</v>
      </c>
      <c r="N12" s="11" t="str">
        <f t="shared" si="3"/>
        <v/>
      </c>
      <c r="P12" s="12">
        <f t="shared" si="4"/>
        <v>0</v>
      </c>
      <c r="Q12" s="12">
        <f t="shared" si="5"/>
        <v>0</v>
      </c>
      <c r="R12" s="12">
        <f t="shared" si="6"/>
        <v>3</v>
      </c>
      <c r="S12" s="12">
        <f t="shared" si="7"/>
        <v>0</v>
      </c>
      <c r="T12" s="12">
        <f t="shared" si="8"/>
        <v>2</v>
      </c>
    </row>
    <row r="13" spans="1:20" ht="30" customHeight="1" x14ac:dyDescent="0.2">
      <c r="A13" s="219" t="str">
        <f>VLOOKUP(B13,Lookup!C$14:I$17,2,FALSE)</f>
        <v/>
      </c>
      <c r="B13" s="132" t="s">
        <v>1</v>
      </c>
      <c r="C13" s="147" t="s">
        <v>9</v>
      </c>
      <c r="D13" s="133" t="s">
        <v>4</v>
      </c>
      <c r="E13" s="220" t="str">
        <f>VLOOKUP(D13,Lookup!C$14:I$17,2,FALSE)</f>
        <v/>
      </c>
      <c r="F13" s="6" t="s">
        <v>4</v>
      </c>
      <c r="G13" s="8" t="s">
        <v>4</v>
      </c>
      <c r="H13" s="8" t="s">
        <v>4</v>
      </c>
      <c r="I13" s="251" t="s">
        <v>102</v>
      </c>
      <c r="J13" s="134" t="s">
        <v>102</v>
      </c>
      <c r="K13" s="9">
        <f t="shared" si="0"/>
        <v>2</v>
      </c>
      <c r="L13" s="10" t="str">
        <f t="shared" si="1"/>
        <v/>
      </c>
      <c r="M13" s="10" t="str">
        <f t="shared" si="2"/>
        <v/>
      </c>
      <c r="N13" s="14">
        <f t="shared" si="3"/>
        <v>6</v>
      </c>
      <c r="P13" s="12">
        <f t="shared" si="4"/>
        <v>0</v>
      </c>
      <c r="Q13" s="12">
        <f t="shared" si="5"/>
        <v>0</v>
      </c>
      <c r="R13" s="12">
        <f t="shared" si="6"/>
        <v>0</v>
      </c>
      <c r="S13" s="12">
        <f t="shared" si="7"/>
        <v>3</v>
      </c>
      <c r="T13" s="12">
        <f t="shared" si="8"/>
        <v>2</v>
      </c>
    </row>
    <row r="14" spans="1:20" ht="30" customHeight="1" x14ac:dyDescent="0.2">
      <c r="A14" s="219" t="str">
        <f>VLOOKUP(B14,Lookup!C$14:I$17,3,FALSE)</f>
        <v/>
      </c>
      <c r="B14" s="132" t="s">
        <v>4</v>
      </c>
      <c r="C14" s="147" t="s">
        <v>9</v>
      </c>
      <c r="D14" s="133" t="s">
        <v>2</v>
      </c>
      <c r="E14" s="220" t="str">
        <f>VLOOKUP(D14,Lookup!C$14:I$17,3,FALSE)</f>
        <v/>
      </c>
      <c r="F14" s="6" t="s">
        <v>2</v>
      </c>
      <c r="G14" s="8" t="s">
        <v>2</v>
      </c>
      <c r="H14" s="8" t="s">
        <v>2</v>
      </c>
      <c r="I14" s="251" t="s">
        <v>102</v>
      </c>
      <c r="J14" s="134" t="s">
        <v>102</v>
      </c>
      <c r="K14" s="13" t="str">
        <f t="shared" si="0"/>
        <v/>
      </c>
      <c r="L14" s="7">
        <f t="shared" si="1"/>
        <v>6</v>
      </c>
      <c r="M14" s="10" t="str">
        <f t="shared" si="2"/>
        <v/>
      </c>
      <c r="N14" s="14">
        <f t="shared" si="3"/>
        <v>2</v>
      </c>
      <c r="P14" s="12">
        <f t="shared" si="4"/>
        <v>0</v>
      </c>
      <c r="Q14" s="12">
        <f t="shared" si="5"/>
        <v>3</v>
      </c>
      <c r="R14" s="12">
        <f t="shared" si="6"/>
        <v>0</v>
      </c>
      <c r="S14" s="12">
        <f t="shared" si="7"/>
        <v>0</v>
      </c>
      <c r="T14" s="12">
        <f t="shared" si="8"/>
        <v>2</v>
      </c>
    </row>
    <row r="15" spans="1:20" ht="30" customHeight="1" thickBot="1" x14ac:dyDescent="0.25">
      <c r="A15" s="246" t="str">
        <f>VLOOKUP(B15,Lookup!C$14:I$17,3,FALSE)</f>
        <v/>
      </c>
      <c r="B15" s="135" t="s">
        <v>3</v>
      </c>
      <c r="C15" s="153" t="s">
        <v>9</v>
      </c>
      <c r="D15" s="136" t="s">
        <v>1</v>
      </c>
      <c r="E15" s="243" t="str">
        <f>VLOOKUP(D15,Lookup!C$14:I$17,3,FALSE)</f>
        <v/>
      </c>
      <c r="F15" s="15" t="s">
        <v>3</v>
      </c>
      <c r="G15" s="16" t="s">
        <v>3</v>
      </c>
      <c r="H15" s="16" t="s">
        <v>1</v>
      </c>
      <c r="I15" s="252" t="s">
        <v>102</v>
      </c>
      <c r="J15" s="253" t="s">
        <v>102</v>
      </c>
      <c r="K15" s="9">
        <f t="shared" si="0"/>
        <v>2</v>
      </c>
      <c r="L15" s="10" t="str">
        <f t="shared" si="1"/>
        <v/>
      </c>
      <c r="M15" s="7">
        <f t="shared" si="2"/>
        <v>6</v>
      </c>
      <c r="N15" s="11" t="str">
        <f t="shared" si="3"/>
        <v/>
      </c>
      <c r="P15" s="12">
        <f t="shared" si="4"/>
        <v>1</v>
      </c>
      <c r="Q15" s="12">
        <f t="shared" si="5"/>
        <v>0</v>
      </c>
      <c r="R15" s="12">
        <f t="shared" si="6"/>
        <v>2</v>
      </c>
      <c r="S15" s="12">
        <f t="shared" si="7"/>
        <v>0</v>
      </c>
      <c r="T15" s="12">
        <f t="shared" si="8"/>
        <v>2</v>
      </c>
    </row>
    <row r="16" spans="1:20" ht="30" customHeight="1" thickBot="1" x14ac:dyDescent="0.25">
      <c r="A16" s="350" t="s">
        <v>8</v>
      </c>
      <c r="B16" s="403"/>
      <c r="C16" s="403"/>
      <c r="D16" s="403"/>
      <c r="E16" s="403"/>
      <c r="F16" s="403"/>
      <c r="G16" s="403"/>
      <c r="H16" s="403"/>
      <c r="I16" s="403"/>
      <c r="J16" s="403"/>
      <c r="K16" s="160">
        <f>SUM(K10:K15)</f>
        <v>6</v>
      </c>
      <c r="L16" s="161">
        <f>SUM(L10:L15)</f>
        <v>14</v>
      </c>
      <c r="M16" s="161">
        <f>SUM(M10:M15)</f>
        <v>14</v>
      </c>
      <c r="N16" s="162">
        <f>SUM(N10:N15)</f>
        <v>14</v>
      </c>
    </row>
    <row r="18" spans="1:20" ht="13.5" thickBot="1" x14ac:dyDescent="0.25"/>
    <row r="19" spans="1:20" ht="30" customHeight="1" x14ac:dyDescent="0.2">
      <c r="A19" s="409" t="str">
        <f>Master!$B$16</f>
        <v>14 Step</v>
      </c>
      <c r="B19" s="413"/>
      <c r="C19" s="413"/>
      <c r="D19" s="413"/>
      <c r="E19" s="414"/>
      <c r="F19" s="339" t="s">
        <v>6</v>
      </c>
      <c r="G19" s="372"/>
      <c r="H19" s="372"/>
      <c r="I19" s="372"/>
      <c r="J19" s="395"/>
      <c r="K19" s="339" t="s">
        <v>7</v>
      </c>
      <c r="L19" s="372"/>
      <c r="M19" s="372"/>
      <c r="N19" s="395"/>
      <c r="P19" s="342" t="s">
        <v>10</v>
      </c>
      <c r="Q19" s="412"/>
      <c r="R19" s="412"/>
      <c r="S19" s="412"/>
      <c r="T19" s="412"/>
    </row>
    <row r="20" spans="1:20" ht="30" customHeight="1" x14ac:dyDescent="0.2">
      <c r="A20" s="344" t="s">
        <v>79</v>
      </c>
      <c r="B20" s="345"/>
      <c r="C20" s="345"/>
      <c r="D20" s="345"/>
      <c r="E20" s="346"/>
      <c r="F20" s="9">
        <v>1</v>
      </c>
      <c r="G20" s="7">
        <v>2</v>
      </c>
      <c r="H20" s="7">
        <v>3</v>
      </c>
      <c r="I20" s="7">
        <v>4</v>
      </c>
      <c r="J20" s="14">
        <v>5</v>
      </c>
      <c r="K20" s="9" t="s">
        <v>1</v>
      </c>
      <c r="L20" s="7" t="s">
        <v>2</v>
      </c>
      <c r="M20" s="7" t="s">
        <v>3</v>
      </c>
      <c r="N20" s="14" t="s">
        <v>4</v>
      </c>
      <c r="P20" s="4" t="s">
        <v>1</v>
      </c>
      <c r="Q20" s="4" t="s">
        <v>2</v>
      </c>
      <c r="R20" s="4" t="s">
        <v>3</v>
      </c>
      <c r="S20" s="4" t="s">
        <v>4</v>
      </c>
      <c r="T20" s="5" t="s">
        <v>11</v>
      </c>
    </row>
    <row r="21" spans="1:20" ht="30" customHeight="1" x14ac:dyDescent="0.2">
      <c r="A21" s="219" t="str">
        <f>VLOOKUP(B21,Lookup!C$14:I$17,4,FALSE)</f>
        <v/>
      </c>
      <c r="B21" s="155" t="s">
        <v>1</v>
      </c>
      <c r="C21" s="156" t="s">
        <v>9</v>
      </c>
      <c r="D21" s="157" t="s">
        <v>2</v>
      </c>
      <c r="E21" s="219" t="str">
        <f>VLOOKUP(D21,Lookup!C$14:I$17,4,FALSE)</f>
        <v/>
      </c>
      <c r="F21" s="6" t="s">
        <v>2</v>
      </c>
      <c r="G21" s="8" t="s">
        <v>2</v>
      </c>
      <c r="H21" s="8" t="s">
        <v>2</v>
      </c>
      <c r="I21" s="251" t="s">
        <v>102</v>
      </c>
      <c r="J21" s="134" t="s">
        <v>102</v>
      </c>
      <c r="K21" s="9">
        <f t="shared" ref="K21:K26" si="9">IF(OR(F21="",G21="",H21="",I21="",J21=""),"",IF(OR($B21="A",$D21="A"),IF(P21=(Q21+R21+S21),4,IF(P21&gt;(Q21+R21+S21),6,2)),""))</f>
        <v>2</v>
      </c>
      <c r="L21" s="7">
        <f t="shared" ref="L21:L26" si="10">IF(OR(F21="",G21="",H21="",I21="",J21=""),"",IF(OR($B21="B",$D21="B"),IF(Q21=(P21+R21+S21),4,IF(Q21&gt;(P21+R21+S21),6,2)),""))</f>
        <v>6</v>
      </c>
      <c r="M21" s="10" t="str">
        <f t="shared" ref="M21:M26" si="11">IF(OR(F21="",G21="",H21="",I21="",J21=""),"",IF(OR($B21="C",$D21="C"),IF(R21=(P21+Q21+S21),4,IF(R21&gt;(P21+Q21+S21),6,2)),""))</f>
        <v/>
      </c>
      <c r="N21" s="11" t="str">
        <f t="shared" ref="N21:N26" si="12">IF(OR(F21="",G21="",H21="",I21="",J21=""),"",IF(OR($B21="D",$D21="D"),IF(S21=(P21+Q21+R21),4,IF(S21&gt;(P21+Q21+R21),6,2)),""))</f>
        <v/>
      </c>
      <c r="P21" s="12">
        <f t="shared" ref="P21:P26" si="13">IF($F21="A",1,0)+IF($G21="A",1,0)+IF($H21="A",1,0)+IF($I21="A",1,0)+IF($J21="A",1,0)</f>
        <v>0</v>
      </c>
      <c r="Q21" s="12">
        <f t="shared" ref="Q21:Q26" si="14">IF($F21="B",1,0)+IF($G21="B",1,0)+IF($H21="B",1,0)+IF($I21="B",1,0)+IF($J21="B",1,0)</f>
        <v>3</v>
      </c>
      <c r="R21" s="12">
        <f t="shared" ref="R21:R26" si="15">IF($F21="C",1,0)+IF($G21="C",1,0)+IF($H21="C",1,0)+IF($I21="C",1,0)+IF($J21="C",1,0)</f>
        <v>0</v>
      </c>
      <c r="S21" s="12">
        <f t="shared" ref="S21:S26" si="16">IF($F21="D",1,0)+IF($G21="D",1,0)+IF($H21="D",1,0)+IF($I21="D",1,0)+IF($J21="D",1,0)</f>
        <v>0</v>
      </c>
      <c r="T21" s="12">
        <f t="shared" ref="T21:T26" si="17">IF($F21="X",1,0)+IF($G21="X",1,0)+IF($H21="X",1,0)+IF($I21="X",1,0)+IF($J21="X",1,0)</f>
        <v>2</v>
      </c>
    </row>
    <row r="22" spans="1:20" ht="30" customHeight="1" x14ac:dyDescent="0.2">
      <c r="A22" s="219" t="str">
        <f>VLOOKUP(B22,Lookup!C$14:I$17,4,FALSE)</f>
        <v/>
      </c>
      <c r="B22" s="155" t="s">
        <v>4</v>
      </c>
      <c r="C22" s="156" t="s">
        <v>9</v>
      </c>
      <c r="D22" s="157" t="s">
        <v>3</v>
      </c>
      <c r="E22" s="219">
        <f>VLOOKUP(D22,Lookup!C$14:I$17,4,FALSE)</f>
        <v>25</v>
      </c>
      <c r="F22" s="6" t="s">
        <v>3</v>
      </c>
      <c r="G22" s="8" t="s">
        <v>3</v>
      </c>
      <c r="H22" s="8" t="s">
        <v>3</v>
      </c>
      <c r="I22" s="251" t="s">
        <v>102</v>
      </c>
      <c r="J22" s="134" t="s">
        <v>102</v>
      </c>
      <c r="K22" s="13" t="str">
        <f t="shared" si="9"/>
        <v/>
      </c>
      <c r="L22" s="10" t="str">
        <f t="shared" si="10"/>
        <v/>
      </c>
      <c r="M22" s="7">
        <f t="shared" si="11"/>
        <v>6</v>
      </c>
      <c r="N22" s="14">
        <f t="shared" si="12"/>
        <v>2</v>
      </c>
      <c r="P22" s="12">
        <f t="shared" si="13"/>
        <v>0</v>
      </c>
      <c r="Q22" s="12">
        <f t="shared" si="14"/>
        <v>0</v>
      </c>
      <c r="R22" s="12">
        <f t="shared" si="15"/>
        <v>3</v>
      </c>
      <c r="S22" s="12">
        <f t="shared" si="16"/>
        <v>0</v>
      </c>
      <c r="T22" s="12">
        <f t="shared" si="17"/>
        <v>2</v>
      </c>
    </row>
    <row r="23" spans="1:20" ht="30" customHeight="1" x14ac:dyDescent="0.2">
      <c r="A23" s="219">
        <f>VLOOKUP(B23,Lookup!C$14:I$17,5,FALSE)</f>
        <v>25</v>
      </c>
      <c r="B23" s="132" t="s">
        <v>2</v>
      </c>
      <c r="C23" s="147" t="s">
        <v>9</v>
      </c>
      <c r="D23" s="133" t="s">
        <v>3</v>
      </c>
      <c r="E23" s="219" t="str">
        <f>VLOOKUP(D23,Lookup!C$14:I$17,5,FALSE)</f>
        <v/>
      </c>
      <c r="F23" s="6" t="s">
        <v>2</v>
      </c>
      <c r="G23" s="8" t="s">
        <v>2</v>
      </c>
      <c r="H23" s="8" t="s">
        <v>2</v>
      </c>
      <c r="I23" s="251" t="s">
        <v>102</v>
      </c>
      <c r="J23" s="134" t="s">
        <v>102</v>
      </c>
      <c r="K23" s="13" t="str">
        <f t="shared" si="9"/>
        <v/>
      </c>
      <c r="L23" s="7">
        <f t="shared" si="10"/>
        <v>6</v>
      </c>
      <c r="M23" s="7">
        <f t="shared" si="11"/>
        <v>2</v>
      </c>
      <c r="N23" s="11" t="str">
        <f t="shared" si="12"/>
        <v/>
      </c>
      <c r="P23" s="12">
        <f t="shared" si="13"/>
        <v>0</v>
      </c>
      <c r="Q23" s="12">
        <f t="shared" si="14"/>
        <v>3</v>
      </c>
      <c r="R23" s="12">
        <f t="shared" si="15"/>
        <v>0</v>
      </c>
      <c r="S23" s="12">
        <f t="shared" si="16"/>
        <v>0</v>
      </c>
      <c r="T23" s="12">
        <f t="shared" si="17"/>
        <v>2</v>
      </c>
    </row>
    <row r="24" spans="1:20" ht="30" customHeight="1" x14ac:dyDescent="0.2">
      <c r="A24" s="219" t="str">
        <f>VLOOKUP(B24,Lookup!C$14:I$17,5,FALSE)</f>
        <v/>
      </c>
      <c r="B24" s="132" t="s">
        <v>1</v>
      </c>
      <c r="C24" s="147" t="s">
        <v>9</v>
      </c>
      <c r="D24" s="133" t="s">
        <v>4</v>
      </c>
      <c r="E24" s="219" t="str">
        <f>VLOOKUP(D24,Lookup!C$14:I$17,5,FALSE)</f>
        <v/>
      </c>
      <c r="F24" s="6" t="s">
        <v>4</v>
      </c>
      <c r="G24" s="8" t="s">
        <v>4</v>
      </c>
      <c r="H24" s="8" t="s">
        <v>4</v>
      </c>
      <c r="I24" s="251" t="s">
        <v>102</v>
      </c>
      <c r="J24" s="134" t="s">
        <v>102</v>
      </c>
      <c r="K24" s="9">
        <f t="shared" si="9"/>
        <v>2</v>
      </c>
      <c r="L24" s="10" t="str">
        <f t="shared" si="10"/>
        <v/>
      </c>
      <c r="M24" s="10" t="str">
        <f t="shared" si="11"/>
        <v/>
      </c>
      <c r="N24" s="14">
        <f t="shared" si="12"/>
        <v>6</v>
      </c>
      <c r="P24" s="12">
        <f t="shared" si="13"/>
        <v>0</v>
      </c>
      <c r="Q24" s="12">
        <f t="shared" si="14"/>
        <v>0</v>
      </c>
      <c r="R24" s="12">
        <f t="shared" si="15"/>
        <v>0</v>
      </c>
      <c r="S24" s="12">
        <f t="shared" si="16"/>
        <v>3</v>
      </c>
      <c r="T24" s="12">
        <f t="shared" si="17"/>
        <v>2</v>
      </c>
    </row>
    <row r="25" spans="1:20" ht="30" customHeight="1" x14ac:dyDescent="0.2">
      <c r="A25" s="219" t="str">
        <f>VLOOKUP(B25,Lookup!C$14:I$17,6,FALSE)</f>
        <v/>
      </c>
      <c r="B25" s="132" t="s">
        <v>4</v>
      </c>
      <c r="C25" s="147" t="s">
        <v>9</v>
      </c>
      <c r="D25" s="133" t="s">
        <v>2</v>
      </c>
      <c r="E25" s="219">
        <f>VLOOKUP(D25,Lookup!C$14:I$17,6,FALSE)</f>
        <v>25</v>
      </c>
      <c r="F25" s="6" t="s">
        <v>4</v>
      </c>
      <c r="G25" s="8" t="s">
        <v>4</v>
      </c>
      <c r="H25" s="8" t="s">
        <v>4</v>
      </c>
      <c r="I25" s="251" t="s">
        <v>102</v>
      </c>
      <c r="J25" s="134" t="s">
        <v>102</v>
      </c>
      <c r="K25" s="13" t="str">
        <f t="shared" si="9"/>
        <v/>
      </c>
      <c r="L25" s="7">
        <f t="shared" si="10"/>
        <v>2</v>
      </c>
      <c r="M25" s="10" t="str">
        <f t="shared" si="11"/>
        <v/>
      </c>
      <c r="N25" s="14">
        <f t="shared" si="12"/>
        <v>6</v>
      </c>
      <c r="P25" s="12">
        <f t="shared" si="13"/>
        <v>0</v>
      </c>
      <c r="Q25" s="12">
        <f t="shared" si="14"/>
        <v>0</v>
      </c>
      <c r="R25" s="12">
        <f t="shared" si="15"/>
        <v>0</v>
      </c>
      <c r="S25" s="12">
        <f t="shared" si="16"/>
        <v>3</v>
      </c>
      <c r="T25" s="12">
        <f t="shared" si="17"/>
        <v>2</v>
      </c>
    </row>
    <row r="26" spans="1:20" ht="30" customHeight="1" thickBot="1" x14ac:dyDescent="0.25">
      <c r="A26" s="219" t="str">
        <f>VLOOKUP(B26,Lookup!C$14:I$17,6,FALSE)</f>
        <v/>
      </c>
      <c r="B26" s="135" t="s">
        <v>3</v>
      </c>
      <c r="C26" s="153" t="s">
        <v>9</v>
      </c>
      <c r="D26" s="136" t="s">
        <v>1</v>
      </c>
      <c r="E26" s="219">
        <f>VLOOKUP(D26,Lookup!C$14:I$17,6,FALSE)</f>
        <v>25</v>
      </c>
      <c r="F26" s="15" t="s">
        <v>3</v>
      </c>
      <c r="G26" s="16" t="s">
        <v>3</v>
      </c>
      <c r="H26" s="16" t="s">
        <v>3</v>
      </c>
      <c r="I26" s="252" t="s">
        <v>102</v>
      </c>
      <c r="J26" s="253" t="s">
        <v>102</v>
      </c>
      <c r="K26" s="17">
        <f t="shared" si="9"/>
        <v>2</v>
      </c>
      <c r="L26" s="18" t="str">
        <f t="shared" si="10"/>
        <v/>
      </c>
      <c r="M26" s="19">
        <f t="shared" si="11"/>
        <v>6</v>
      </c>
      <c r="N26" s="20" t="str">
        <f t="shared" si="12"/>
        <v/>
      </c>
      <c r="P26" s="12">
        <f t="shared" si="13"/>
        <v>0</v>
      </c>
      <c r="Q26" s="12">
        <f t="shared" si="14"/>
        <v>0</v>
      </c>
      <c r="R26" s="12">
        <f t="shared" si="15"/>
        <v>3</v>
      </c>
      <c r="S26" s="12">
        <f t="shared" si="16"/>
        <v>0</v>
      </c>
      <c r="T26" s="12">
        <f t="shared" si="17"/>
        <v>2</v>
      </c>
    </row>
    <row r="27" spans="1:20" ht="30" customHeight="1" thickBot="1" x14ac:dyDescent="0.25">
      <c r="A27" s="350" t="s">
        <v>8</v>
      </c>
      <c r="B27" s="403"/>
      <c r="C27" s="403"/>
      <c r="D27" s="403"/>
      <c r="E27" s="403"/>
      <c r="F27" s="403"/>
      <c r="G27" s="403"/>
      <c r="H27" s="403"/>
      <c r="I27" s="403"/>
      <c r="J27" s="403"/>
      <c r="K27" s="21">
        <f>SUM(K21:K26)</f>
        <v>6</v>
      </c>
      <c r="L27" s="22">
        <f>SUM(L21:L26)</f>
        <v>14</v>
      </c>
      <c r="M27" s="22">
        <f>SUM(M21:M26)</f>
        <v>14</v>
      </c>
      <c r="N27" s="23">
        <f>SUM(N21:N26)</f>
        <v>14</v>
      </c>
    </row>
    <row r="30" spans="1:20" ht="13.5" thickBot="1" x14ac:dyDescent="0.25"/>
    <row r="31" spans="1:20" ht="30" customHeight="1" thickBot="1" x14ac:dyDescent="0.25">
      <c r="A31" s="383" t="s">
        <v>13</v>
      </c>
      <c r="B31" s="384"/>
      <c r="C31" s="384"/>
      <c r="D31" s="384"/>
      <c r="E31" s="384"/>
      <c r="F31" s="384"/>
      <c r="G31" s="384"/>
      <c r="H31" s="384"/>
      <c r="I31" s="384"/>
      <c r="J31" s="385"/>
      <c r="K31" s="163" t="s">
        <v>1</v>
      </c>
      <c r="L31" s="164" t="s">
        <v>2</v>
      </c>
      <c r="M31" s="164" t="s">
        <v>3</v>
      </c>
      <c r="N31" s="165" t="s">
        <v>4</v>
      </c>
    </row>
    <row r="32" spans="1:20" ht="30" customHeight="1" x14ac:dyDescent="0.2">
      <c r="A32" s="389" t="s">
        <v>14</v>
      </c>
      <c r="B32" s="390"/>
      <c r="C32" s="390"/>
      <c r="D32" s="390"/>
      <c r="E32" s="390"/>
      <c r="F32" s="390"/>
      <c r="G32" s="390"/>
      <c r="H32" s="390"/>
      <c r="I32" s="390"/>
      <c r="J32" s="391"/>
      <c r="K32" s="24">
        <f>K16+K27</f>
        <v>12</v>
      </c>
      <c r="L32" s="25">
        <f>L16+L27</f>
        <v>28</v>
      </c>
      <c r="M32" s="25">
        <f>M16+M27</f>
        <v>28</v>
      </c>
      <c r="N32" s="26">
        <f>N16+N27</f>
        <v>28</v>
      </c>
    </row>
    <row r="33" spans="1:14" ht="30" customHeight="1" x14ac:dyDescent="0.2">
      <c r="A33" s="386" t="s">
        <v>15</v>
      </c>
      <c r="B33" s="387"/>
      <c r="C33" s="387"/>
      <c r="D33" s="387"/>
      <c r="E33" s="387"/>
      <c r="F33" s="387"/>
      <c r="G33" s="387"/>
      <c r="H33" s="387"/>
      <c r="I33" s="387"/>
      <c r="J33" s="388"/>
      <c r="K33" s="239">
        <f>VLOOKUP(K31,Lookup!$C14:$I17,7,FALSE)</f>
        <v>11</v>
      </c>
      <c r="L33" s="244">
        <f>VLOOKUP(L31,Lookup!$C14:$I17,7,FALSE)</f>
        <v>10</v>
      </c>
      <c r="M33" s="244">
        <f>VLOOKUP(M31,Lookup!$C14:$I17,7,FALSE)</f>
        <v>11</v>
      </c>
      <c r="N33" s="245">
        <f>VLOOKUP(N31,Lookup!$C14:$I17,7,FALSE)</f>
        <v>12</v>
      </c>
    </row>
    <row r="34" spans="1:14" ht="30" customHeight="1" x14ac:dyDescent="0.2">
      <c r="A34" s="386" t="s">
        <v>16</v>
      </c>
      <c r="B34" s="387"/>
      <c r="C34" s="387"/>
      <c r="D34" s="387"/>
      <c r="E34" s="387"/>
      <c r="F34" s="387"/>
      <c r="G34" s="387"/>
      <c r="H34" s="387"/>
      <c r="I34" s="387"/>
      <c r="J34" s="388"/>
      <c r="K34" s="27">
        <f>K56</f>
        <v>0.5</v>
      </c>
      <c r="L34" s="28">
        <f>L56</f>
        <v>2</v>
      </c>
      <c r="M34" s="28">
        <f>M56</f>
        <v>1.5</v>
      </c>
      <c r="N34" s="29">
        <f>N56</f>
        <v>0</v>
      </c>
    </row>
    <row r="35" spans="1:14" ht="30" customHeight="1" x14ac:dyDescent="0.2">
      <c r="A35" s="386" t="s">
        <v>103</v>
      </c>
      <c r="B35" s="387"/>
      <c r="C35" s="387"/>
      <c r="D35" s="387"/>
      <c r="E35" s="387"/>
      <c r="F35" s="387"/>
      <c r="G35" s="387"/>
      <c r="H35" s="387"/>
      <c r="I35" s="387"/>
      <c r="J35" s="388"/>
      <c r="K35" s="263"/>
      <c r="L35" s="264"/>
      <c r="M35" s="264"/>
      <c r="N35" s="265"/>
    </row>
    <row r="36" spans="1:14" ht="30" customHeight="1" thickBot="1" x14ac:dyDescent="0.25">
      <c r="A36" s="396" t="s">
        <v>17</v>
      </c>
      <c r="B36" s="397"/>
      <c r="C36" s="397"/>
      <c r="D36" s="397"/>
      <c r="E36" s="397"/>
      <c r="F36" s="397"/>
      <c r="G36" s="397"/>
      <c r="H36" s="397"/>
      <c r="I36" s="397"/>
      <c r="J36" s="398"/>
      <c r="K36" s="30">
        <f>K32+K33-K34+K35</f>
        <v>22.5</v>
      </c>
      <c r="L36" s="31">
        <f>L32+L33-L34+L35</f>
        <v>36</v>
      </c>
      <c r="M36" s="31">
        <f>M32+M33-M34+M35</f>
        <v>37.5</v>
      </c>
      <c r="N36" s="32">
        <f>N32+N33-N34+N35</f>
        <v>40</v>
      </c>
    </row>
    <row r="37" spans="1:14" ht="30" customHeight="1" thickBot="1" x14ac:dyDescent="0.25">
      <c r="A37" s="374" t="s">
        <v>12</v>
      </c>
      <c r="B37" s="374"/>
      <c r="C37" s="374"/>
      <c r="D37" s="374"/>
      <c r="E37" s="374"/>
      <c r="F37" s="374"/>
      <c r="G37" s="374"/>
      <c r="H37" s="374"/>
      <c r="I37" s="374"/>
      <c r="J37" s="354"/>
      <c r="K37" s="69">
        <f>IF(SUM($K36:$N36) &gt; 0,RANK(K36,$K36:$N36,0), "")</f>
        <v>4</v>
      </c>
      <c r="L37" s="70">
        <f>IF(SUM($K36:$N36) &gt; 0,RANK(L36,$K36:$N36,0), "")</f>
        <v>3</v>
      </c>
      <c r="M37" s="70">
        <f>IF(SUM($K36:$N36) &gt; 0,RANK(M36,$K36:$N36,0), "")</f>
        <v>2</v>
      </c>
      <c r="N37" s="71">
        <f>IF(SUM($K36:$N36) &gt; 0,RANK(N36,$K36:$N36,0), "")</f>
        <v>1</v>
      </c>
    </row>
    <row r="40" spans="1:14" ht="30" customHeight="1" thickBot="1" x14ac:dyDescent="0.25">
      <c r="A40" s="402" t="s">
        <v>20</v>
      </c>
      <c r="B40" s="402"/>
      <c r="C40" s="402"/>
      <c r="D40" s="402"/>
      <c r="E40" s="402"/>
      <c r="F40" s="366"/>
      <c r="G40" s="366"/>
      <c r="H40" s="366"/>
      <c r="I40" s="366"/>
      <c r="J40" s="366"/>
      <c r="K40" s="366"/>
      <c r="L40" s="366"/>
      <c r="M40" s="366"/>
      <c r="N40" s="366"/>
    </row>
    <row r="41" spans="1:14" ht="30" customHeight="1" x14ac:dyDescent="0.2">
      <c r="A41" s="399" t="str">
        <f>IF(A8="","",A8)</f>
        <v>Prelim Waltz</v>
      </c>
      <c r="B41" s="400"/>
      <c r="C41" s="400"/>
      <c r="D41" s="400"/>
      <c r="E41" s="401"/>
      <c r="F41" s="372" t="s">
        <v>18</v>
      </c>
      <c r="G41" s="372"/>
      <c r="H41" s="372"/>
      <c r="I41" s="372"/>
      <c r="J41" s="378"/>
      <c r="K41" s="372" t="s">
        <v>19</v>
      </c>
      <c r="L41" s="372"/>
      <c r="M41" s="372"/>
      <c r="N41" s="395"/>
    </row>
    <row r="42" spans="1:14" ht="30" customHeight="1" thickBot="1" x14ac:dyDescent="0.25">
      <c r="A42" s="392" t="s">
        <v>79</v>
      </c>
      <c r="B42" s="393"/>
      <c r="C42" s="393"/>
      <c r="D42" s="393"/>
      <c r="E42" s="394"/>
      <c r="F42" s="19" t="s">
        <v>1</v>
      </c>
      <c r="G42" s="19" t="s">
        <v>2</v>
      </c>
      <c r="H42" s="19" t="s">
        <v>3</v>
      </c>
      <c r="I42" s="170" t="s">
        <v>4</v>
      </c>
      <c r="J42" s="379"/>
      <c r="K42" s="19" t="s">
        <v>1</v>
      </c>
      <c r="L42" s="19" t="s">
        <v>2</v>
      </c>
      <c r="M42" s="19" t="s">
        <v>3</v>
      </c>
      <c r="N42" s="146" t="s">
        <v>4</v>
      </c>
    </row>
    <row r="43" spans="1:14" ht="30" customHeight="1" x14ac:dyDescent="0.2">
      <c r="A43" s="42" t="str">
        <f t="shared" ref="A43:A48" si="18">IF(A10="","",A10)</f>
        <v/>
      </c>
      <c r="B43" s="166" t="s">
        <v>1</v>
      </c>
      <c r="C43" s="167" t="s">
        <v>9</v>
      </c>
      <c r="D43" s="168" t="s">
        <v>2</v>
      </c>
      <c r="E43" s="151" t="str">
        <f t="shared" ref="E43:E48" si="19">IF(E10="","",E10)</f>
        <v/>
      </c>
      <c r="F43" s="148" t="str">
        <f t="shared" ref="F43:F48" si="20">IF(OR(AND($A43&lt;&gt;"",$B43="A"),AND($D43="A",$E43&lt;&gt;"")),K10,"")</f>
        <v/>
      </c>
      <c r="G43" s="34" t="str">
        <f t="shared" ref="G43:G48" si="21">IF(OR(AND($A43&lt;&gt;"",$B43="B"),AND($D43="B",$E43&lt;&gt;"")),L10,"")</f>
        <v/>
      </c>
      <c r="H43" s="34" t="str">
        <f t="shared" ref="H43:H48" si="22">IF(OR(AND($A43&lt;&gt;"",$B43="C"),AND($D43="C",$E43&lt;&gt;"")),M10,"")</f>
        <v/>
      </c>
      <c r="I43" s="171" t="str">
        <f t="shared" ref="I43:I48" si="23">IF(OR(AND($A43&lt;&gt;"",$B43="D"),AND($D43="D",$E43&lt;&gt;"")),N10,"")</f>
        <v/>
      </c>
      <c r="J43" s="379"/>
      <c r="K43" s="174" t="str">
        <f t="shared" ref="K43:K48" si="24">IF(F43&lt;&gt;"",F43*IF($B43="A",$A43/100,1)*IF($D43="A",$E43/100,1),"")</f>
        <v/>
      </c>
      <c r="L43" s="35" t="str">
        <f t="shared" ref="L43:L48" si="25">IF(G43&lt;&gt;"",G43*IF($B43="B",$A43/100,1)*IF($D43="B",$E43/100,1),"")</f>
        <v/>
      </c>
      <c r="M43" s="35" t="str">
        <f t="shared" ref="M43:M48" si="26">IF(H43&lt;&gt;"",H43*IF($B43="C",$A43/100,1)*IF($D43="C",$E43/100,1),"")</f>
        <v/>
      </c>
      <c r="N43" s="36" t="str">
        <f t="shared" ref="N43:N48" si="27">IF(I43&lt;&gt;"",I43*IF($B43="D",$A43/100,1)*IF($D43="D",$E43/100,1),"")</f>
        <v/>
      </c>
    </row>
    <row r="44" spans="1:14" ht="30" customHeight="1" x14ac:dyDescent="0.2">
      <c r="A44" s="37" t="str">
        <f t="shared" si="18"/>
        <v/>
      </c>
      <c r="B44" s="155" t="s">
        <v>4</v>
      </c>
      <c r="C44" s="156" t="s">
        <v>9</v>
      </c>
      <c r="D44" s="157" t="s">
        <v>3</v>
      </c>
      <c r="E44" s="152" t="str">
        <f t="shared" si="19"/>
        <v/>
      </c>
      <c r="F44" s="149" t="str">
        <f t="shared" si="20"/>
        <v/>
      </c>
      <c r="G44" s="38" t="str">
        <f t="shared" si="21"/>
        <v/>
      </c>
      <c r="H44" s="38" t="str">
        <f t="shared" si="22"/>
        <v/>
      </c>
      <c r="I44" s="172" t="str">
        <f t="shared" si="23"/>
        <v/>
      </c>
      <c r="J44" s="379"/>
      <c r="K44" s="28" t="str">
        <f t="shared" si="24"/>
        <v/>
      </c>
      <c r="L44" s="39" t="str">
        <f t="shared" si="25"/>
        <v/>
      </c>
      <c r="M44" s="39" t="str">
        <f t="shared" si="26"/>
        <v/>
      </c>
      <c r="N44" s="40" t="str">
        <f t="shared" si="27"/>
        <v/>
      </c>
    </row>
    <row r="45" spans="1:14" ht="30" customHeight="1" x14ac:dyDescent="0.2">
      <c r="A45" s="37" t="str">
        <f t="shared" si="18"/>
        <v/>
      </c>
      <c r="B45" s="132" t="s">
        <v>2</v>
      </c>
      <c r="C45" s="147" t="s">
        <v>9</v>
      </c>
      <c r="D45" s="133" t="s">
        <v>3</v>
      </c>
      <c r="E45" s="152" t="str">
        <f t="shared" si="19"/>
        <v/>
      </c>
      <c r="F45" s="149" t="str">
        <f t="shared" si="20"/>
        <v/>
      </c>
      <c r="G45" s="38" t="str">
        <f t="shared" si="21"/>
        <v/>
      </c>
      <c r="H45" s="38" t="str">
        <f t="shared" si="22"/>
        <v/>
      </c>
      <c r="I45" s="172" t="str">
        <f t="shared" si="23"/>
        <v/>
      </c>
      <c r="J45" s="379"/>
      <c r="K45" s="28" t="str">
        <f t="shared" si="24"/>
        <v/>
      </c>
      <c r="L45" s="39" t="str">
        <f t="shared" si="25"/>
        <v/>
      </c>
      <c r="M45" s="39" t="str">
        <f t="shared" si="26"/>
        <v/>
      </c>
      <c r="N45" s="40" t="str">
        <f t="shared" si="27"/>
        <v/>
      </c>
    </row>
    <row r="46" spans="1:14" ht="30" customHeight="1" x14ac:dyDescent="0.2">
      <c r="A46" s="37" t="str">
        <f t="shared" si="18"/>
        <v/>
      </c>
      <c r="B46" s="132" t="s">
        <v>1</v>
      </c>
      <c r="C46" s="147" t="s">
        <v>9</v>
      </c>
      <c r="D46" s="133" t="s">
        <v>4</v>
      </c>
      <c r="E46" s="152" t="str">
        <f t="shared" si="19"/>
        <v/>
      </c>
      <c r="F46" s="149" t="str">
        <f t="shared" si="20"/>
        <v/>
      </c>
      <c r="G46" s="38" t="str">
        <f t="shared" si="21"/>
        <v/>
      </c>
      <c r="H46" s="38" t="str">
        <f t="shared" si="22"/>
        <v/>
      </c>
      <c r="I46" s="172" t="str">
        <f t="shared" si="23"/>
        <v/>
      </c>
      <c r="J46" s="379"/>
      <c r="K46" s="28" t="str">
        <f t="shared" si="24"/>
        <v/>
      </c>
      <c r="L46" s="39" t="str">
        <f t="shared" si="25"/>
        <v/>
      </c>
      <c r="M46" s="39" t="str">
        <f t="shared" si="26"/>
        <v/>
      </c>
      <c r="N46" s="40" t="str">
        <f t="shared" si="27"/>
        <v/>
      </c>
    </row>
    <row r="47" spans="1:14" ht="30" customHeight="1" x14ac:dyDescent="0.2">
      <c r="A47" s="37" t="str">
        <f t="shared" si="18"/>
        <v/>
      </c>
      <c r="B47" s="132" t="s">
        <v>4</v>
      </c>
      <c r="C47" s="147" t="s">
        <v>9</v>
      </c>
      <c r="D47" s="133" t="s">
        <v>2</v>
      </c>
      <c r="E47" s="152" t="str">
        <f t="shared" si="19"/>
        <v/>
      </c>
      <c r="F47" s="149" t="str">
        <f t="shared" si="20"/>
        <v/>
      </c>
      <c r="G47" s="38" t="str">
        <f t="shared" si="21"/>
        <v/>
      </c>
      <c r="H47" s="38" t="str">
        <f t="shared" si="22"/>
        <v/>
      </c>
      <c r="I47" s="172" t="str">
        <f t="shared" si="23"/>
        <v/>
      </c>
      <c r="J47" s="379"/>
      <c r="K47" s="28" t="str">
        <f t="shared" si="24"/>
        <v/>
      </c>
      <c r="L47" s="39" t="str">
        <f t="shared" si="25"/>
        <v/>
      </c>
      <c r="M47" s="39" t="str">
        <f t="shared" si="26"/>
        <v/>
      </c>
      <c r="N47" s="40" t="str">
        <f t="shared" si="27"/>
        <v/>
      </c>
    </row>
    <row r="48" spans="1:14" ht="30" customHeight="1" thickBot="1" x14ac:dyDescent="0.25">
      <c r="A48" s="46" t="str">
        <f t="shared" si="18"/>
        <v/>
      </c>
      <c r="B48" s="135" t="s">
        <v>3</v>
      </c>
      <c r="C48" s="153" t="s">
        <v>9</v>
      </c>
      <c r="D48" s="136" t="s">
        <v>1</v>
      </c>
      <c r="E48" s="154" t="str">
        <f t="shared" si="19"/>
        <v/>
      </c>
      <c r="F48" s="150" t="str">
        <f t="shared" si="20"/>
        <v/>
      </c>
      <c r="G48" s="41" t="str">
        <f t="shared" si="21"/>
        <v/>
      </c>
      <c r="H48" s="41" t="str">
        <f t="shared" si="22"/>
        <v/>
      </c>
      <c r="I48" s="173" t="str">
        <f t="shared" si="23"/>
        <v/>
      </c>
      <c r="J48" s="380"/>
      <c r="K48" s="175" t="str">
        <f t="shared" si="24"/>
        <v/>
      </c>
      <c r="L48" s="31" t="str">
        <f t="shared" si="25"/>
        <v/>
      </c>
      <c r="M48" s="31" t="str">
        <f t="shared" si="26"/>
        <v/>
      </c>
      <c r="N48" s="32" t="str">
        <f t="shared" si="27"/>
        <v/>
      </c>
    </row>
    <row r="49" spans="1:14" ht="30" customHeight="1" thickBot="1" x14ac:dyDescent="0.25">
      <c r="A49" s="367" t="str">
        <f>IF(A19="","",A19)</f>
        <v>14 Step</v>
      </c>
      <c r="B49" s="375"/>
      <c r="C49" s="375"/>
      <c r="D49" s="375"/>
      <c r="E49" s="375"/>
      <c r="F49" s="376"/>
      <c r="G49" s="376"/>
      <c r="H49" s="376"/>
      <c r="I49" s="376"/>
      <c r="J49" s="376"/>
      <c r="K49" s="376"/>
      <c r="L49" s="376"/>
      <c r="M49" s="376"/>
      <c r="N49" s="377"/>
    </row>
    <row r="50" spans="1:14" ht="30" customHeight="1" x14ac:dyDescent="0.2">
      <c r="A50" s="33" t="str">
        <f t="shared" ref="A50:A55" si="28">IF(A21="","",A21)</f>
        <v/>
      </c>
      <c r="B50" s="181" t="s">
        <v>1</v>
      </c>
      <c r="C50" s="182" t="s">
        <v>9</v>
      </c>
      <c r="D50" s="183" t="s">
        <v>2</v>
      </c>
      <c r="E50" s="184" t="str">
        <f t="shared" ref="E50:E55" si="29">IF(E21="","",E21)</f>
        <v/>
      </c>
      <c r="F50" s="179" t="str">
        <f t="shared" ref="F50:F55" si="30">IF(OR(AND($A50&lt;&gt;"",$B50="A"),AND($D50="A",$E50&lt;&gt;"")),K21,"")</f>
        <v/>
      </c>
      <c r="G50" s="43" t="str">
        <f t="shared" ref="G50:G55" si="31">IF(OR(AND($A50&lt;&gt;"",$B50="B"),AND($D50="B",$E50&lt;&gt;"")),L21,"")</f>
        <v/>
      </c>
      <c r="H50" s="43" t="str">
        <f t="shared" ref="H50:H55" si="32">IF(OR(AND($A50&lt;&gt;"",$B50="C"),AND($D50="C",$E50&lt;&gt;"")),M21,"")</f>
        <v/>
      </c>
      <c r="I50" s="176" t="str">
        <f t="shared" ref="I50:I55" si="33">IF(OR(AND($A50&lt;&gt;"",$B50="D"),AND($D50="D",$E50&lt;&gt;"")),N21,"")</f>
        <v/>
      </c>
      <c r="J50" s="371"/>
      <c r="K50" s="178" t="str">
        <f t="shared" ref="K50:K55" si="34">IF(F50&lt;&gt;"",F50*IF($B50="A",$A50/100,1)*IF($D50="A",$E50/100,1),"")</f>
        <v/>
      </c>
      <c r="L50" s="44" t="str">
        <f t="shared" ref="L50:L55" si="35">IF(G50&lt;&gt;"",G50*IF($B50="B",$A50/100,1)*IF($D50="B",$E50/100,1),"")</f>
        <v/>
      </c>
      <c r="M50" s="44" t="str">
        <f t="shared" ref="M50:M55" si="36">IF(H50&lt;&gt;"",H50*IF($B50="C",$A50/100,1)*IF($D50="C",$E50/100,1),"")</f>
        <v/>
      </c>
      <c r="N50" s="45" t="str">
        <f t="shared" ref="N50:N55" si="37">IF(I50&lt;&gt;"",I50*IF($B50="D",$A50/100,1)*IF($D50="D",$E50/100,1),"")</f>
        <v/>
      </c>
    </row>
    <row r="51" spans="1:14" ht="30" customHeight="1" x14ac:dyDescent="0.2">
      <c r="A51" s="37" t="str">
        <f t="shared" si="28"/>
        <v/>
      </c>
      <c r="B51" s="155" t="s">
        <v>4</v>
      </c>
      <c r="C51" s="156" t="s">
        <v>9</v>
      </c>
      <c r="D51" s="157" t="s">
        <v>3</v>
      </c>
      <c r="E51" s="152">
        <f t="shared" si="29"/>
        <v>25</v>
      </c>
      <c r="F51" s="149" t="str">
        <f t="shared" si="30"/>
        <v/>
      </c>
      <c r="G51" s="38" t="str">
        <f t="shared" si="31"/>
        <v/>
      </c>
      <c r="H51" s="38">
        <f t="shared" si="32"/>
        <v>6</v>
      </c>
      <c r="I51" s="172" t="str">
        <f t="shared" si="33"/>
        <v/>
      </c>
      <c r="J51" s="381"/>
      <c r="K51" s="28" t="str">
        <f t="shared" si="34"/>
        <v/>
      </c>
      <c r="L51" s="39" t="str">
        <f t="shared" si="35"/>
        <v/>
      </c>
      <c r="M51" s="39">
        <f t="shared" si="36"/>
        <v>1.5</v>
      </c>
      <c r="N51" s="40" t="str">
        <f t="shared" si="37"/>
        <v/>
      </c>
    </row>
    <row r="52" spans="1:14" ht="30" customHeight="1" x14ac:dyDescent="0.2">
      <c r="A52" s="37">
        <f t="shared" si="28"/>
        <v>25</v>
      </c>
      <c r="B52" s="132" t="s">
        <v>2</v>
      </c>
      <c r="C52" s="147" t="s">
        <v>9</v>
      </c>
      <c r="D52" s="133" t="s">
        <v>3</v>
      </c>
      <c r="E52" s="152" t="str">
        <f t="shared" si="29"/>
        <v/>
      </c>
      <c r="F52" s="149" t="str">
        <f t="shared" si="30"/>
        <v/>
      </c>
      <c r="G52" s="38">
        <f t="shared" si="31"/>
        <v>6</v>
      </c>
      <c r="H52" s="38" t="str">
        <f t="shared" si="32"/>
        <v/>
      </c>
      <c r="I52" s="172" t="str">
        <f t="shared" si="33"/>
        <v/>
      </c>
      <c r="J52" s="381"/>
      <c r="K52" s="28" t="str">
        <f t="shared" si="34"/>
        <v/>
      </c>
      <c r="L52" s="39">
        <f t="shared" si="35"/>
        <v>1.5</v>
      </c>
      <c r="M52" s="39" t="str">
        <f t="shared" si="36"/>
        <v/>
      </c>
      <c r="N52" s="40" t="str">
        <f t="shared" si="37"/>
        <v/>
      </c>
    </row>
    <row r="53" spans="1:14" ht="30" customHeight="1" x14ac:dyDescent="0.2">
      <c r="A53" s="37" t="str">
        <f t="shared" si="28"/>
        <v/>
      </c>
      <c r="B53" s="132" t="s">
        <v>1</v>
      </c>
      <c r="C53" s="147" t="s">
        <v>9</v>
      </c>
      <c r="D53" s="133" t="s">
        <v>4</v>
      </c>
      <c r="E53" s="152" t="str">
        <f t="shared" si="29"/>
        <v/>
      </c>
      <c r="F53" s="149" t="str">
        <f t="shared" si="30"/>
        <v/>
      </c>
      <c r="G53" s="38" t="str">
        <f t="shared" si="31"/>
        <v/>
      </c>
      <c r="H53" s="38" t="str">
        <f t="shared" si="32"/>
        <v/>
      </c>
      <c r="I53" s="172" t="str">
        <f t="shared" si="33"/>
        <v/>
      </c>
      <c r="J53" s="381"/>
      <c r="K53" s="28" t="str">
        <f t="shared" si="34"/>
        <v/>
      </c>
      <c r="L53" s="39" t="str">
        <f t="shared" si="35"/>
        <v/>
      </c>
      <c r="M53" s="39" t="str">
        <f t="shared" si="36"/>
        <v/>
      </c>
      <c r="N53" s="40" t="str">
        <f t="shared" si="37"/>
        <v/>
      </c>
    </row>
    <row r="54" spans="1:14" ht="30" customHeight="1" x14ac:dyDescent="0.2">
      <c r="A54" s="37" t="str">
        <f t="shared" si="28"/>
        <v/>
      </c>
      <c r="B54" s="132" t="s">
        <v>4</v>
      </c>
      <c r="C54" s="147" t="s">
        <v>9</v>
      </c>
      <c r="D54" s="133" t="s">
        <v>2</v>
      </c>
      <c r="E54" s="152">
        <f t="shared" si="29"/>
        <v>25</v>
      </c>
      <c r="F54" s="149" t="str">
        <f t="shared" si="30"/>
        <v/>
      </c>
      <c r="G54" s="38">
        <f t="shared" si="31"/>
        <v>2</v>
      </c>
      <c r="H54" s="38" t="str">
        <f t="shared" si="32"/>
        <v/>
      </c>
      <c r="I54" s="172" t="str">
        <f t="shared" si="33"/>
        <v/>
      </c>
      <c r="J54" s="381"/>
      <c r="K54" s="28" t="str">
        <f t="shared" si="34"/>
        <v/>
      </c>
      <c r="L54" s="39">
        <f t="shared" si="35"/>
        <v>0.5</v>
      </c>
      <c r="M54" s="39" t="str">
        <f t="shared" si="36"/>
        <v/>
      </c>
      <c r="N54" s="40" t="str">
        <f t="shared" si="37"/>
        <v/>
      </c>
    </row>
    <row r="55" spans="1:14" ht="30" customHeight="1" thickBot="1" x14ac:dyDescent="0.25">
      <c r="A55" s="46" t="str">
        <f t="shared" si="28"/>
        <v/>
      </c>
      <c r="B55" s="135" t="s">
        <v>3</v>
      </c>
      <c r="C55" s="153" t="s">
        <v>9</v>
      </c>
      <c r="D55" s="136" t="s">
        <v>1</v>
      </c>
      <c r="E55" s="154">
        <f t="shared" si="29"/>
        <v>25</v>
      </c>
      <c r="F55" s="180">
        <f t="shared" si="30"/>
        <v>2</v>
      </c>
      <c r="G55" s="47" t="str">
        <f t="shared" si="31"/>
        <v/>
      </c>
      <c r="H55" s="47" t="str">
        <f t="shared" si="32"/>
        <v/>
      </c>
      <c r="I55" s="177" t="str">
        <f t="shared" si="33"/>
        <v/>
      </c>
      <c r="J55" s="382"/>
      <c r="K55" s="175">
        <f t="shared" si="34"/>
        <v>0.5</v>
      </c>
      <c r="L55" s="31" t="str">
        <f t="shared" si="35"/>
        <v/>
      </c>
      <c r="M55" s="31" t="str">
        <f t="shared" si="36"/>
        <v/>
      </c>
      <c r="N55" s="32" t="str">
        <f t="shared" si="37"/>
        <v/>
      </c>
    </row>
    <row r="56" spans="1:14" ht="30" customHeight="1" thickBot="1" x14ac:dyDescent="0.25">
      <c r="A56" s="374" t="s">
        <v>16</v>
      </c>
      <c r="B56" s="374"/>
      <c r="C56" s="374"/>
      <c r="D56" s="374"/>
      <c r="E56" s="374"/>
      <c r="F56" s="374"/>
      <c r="G56" s="374"/>
      <c r="H56" s="374"/>
      <c r="I56" s="374"/>
      <c r="J56" s="354"/>
      <c r="K56" s="48">
        <f>SUM(K43:K55)</f>
        <v>0.5</v>
      </c>
      <c r="L56" s="49">
        <f>SUM(L43:L55)</f>
        <v>2</v>
      </c>
      <c r="M56" s="49">
        <f>SUM(M43:M55)</f>
        <v>1.5</v>
      </c>
      <c r="N56" s="50">
        <f>SUM(N43:N55)</f>
        <v>0</v>
      </c>
    </row>
  </sheetData>
  <sheetProtection password="CAEF" sheet="1" objects="1" scenarios="1" selectLockedCells="1"/>
  <mergeCells count="28">
    <mergeCell ref="A27:J27"/>
    <mergeCell ref="A20:E20"/>
    <mergeCell ref="P8:T8"/>
    <mergeCell ref="A9:E9"/>
    <mergeCell ref="A8:E8"/>
    <mergeCell ref="F8:J8"/>
    <mergeCell ref="K8:N8"/>
    <mergeCell ref="F19:J19"/>
    <mergeCell ref="K19:N19"/>
    <mergeCell ref="P19:T19"/>
    <mergeCell ref="A16:J16"/>
    <mergeCell ref="A19:E19"/>
    <mergeCell ref="A56:J56"/>
    <mergeCell ref="A49:N49"/>
    <mergeCell ref="J41:J48"/>
    <mergeCell ref="J50:J55"/>
    <mergeCell ref="A31:J31"/>
    <mergeCell ref="A33:J33"/>
    <mergeCell ref="A32:J32"/>
    <mergeCell ref="A42:E42"/>
    <mergeCell ref="K41:N41"/>
    <mergeCell ref="A36:J36"/>
    <mergeCell ref="A35:J35"/>
    <mergeCell ref="A41:E41"/>
    <mergeCell ref="F41:I41"/>
    <mergeCell ref="A40:N40"/>
    <mergeCell ref="A34:J34"/>
    <mergeCell ref="A37:J37"/>
  </mergeCells>
  <phoneticPr fontId="0" type="noConversion"/>
  <conditionalFormatting sqref="F10:J15 F21:J26">
    <cfRule type="expression" dxfId="14" priority="1" stopIfTrue="1">
      <formula>AND(NOT(F10=""),NOT(F10=$B10),NOT(F10=$D10),NOT(F10="X"))</formula>
    </cfRule>
  </conditionalFormatting>
  <conditionalFormatting sqref="A21:A26 A10:A15 E10:E15 E21:E26">
    <cfRule type="expression" dxfId="13" priority="2" stopIfTrue="1">
      <formula>AND(NOT(A10=""),NOT(A10=25),NOT(A10=50))</formula>
    </cfRule>
  </conditionalFormatting>
  <conditionalFormatting sqref="K33:N33">
    <cfRule type="expression" dxfId="12" priority="3" stopIfTrue="1">
      <formula>AND(K33&lt;&gt;"",OR(K33&lt;2,K33&gt;18))</formula>
    </cfRule>
  </conditionalFormatting>
  <conditionalFormatting sqref="K37:N37">
    <cfRule type="cellIs" dxfId="11" priority="4" stopIfTrue="1" operator="equal">
      <formula>1</formula>
    </cfRule>
    <cfRule type="cellIs" dxfId="10" priority="5" stopIfTrue="1" operator="equal">
      <formula>2</formula>
    </cfRule>
    <cfRule type="cellIs" dxfId="9" priority="6" stopIfTrue="1" operator="equal">
      <formula>3</formula>
    </cfRule>
  </conditionalFormatting>
  <pageMargins left="0.75" right="0.75" top="1" bottom="1" header="0.5" footer="0.5"/>
  <pageSetup paperSize="9" scale="65" orientation="portrait" r:id="rId1"/>
  <headerFooter alignWithMargins="0">
    <oddHeader>&amp;L&amp;"Arial,Bold"&amp;26RIDL Final</oddHeader>
  </headerFooter>
  <cellWatches>
    <cellWatch r="K33"/>
  </cellWatch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T56"/>
  <sheetViews>
    <sheetView showGridLines="0" showRowColHeaders="0" topLeftCell="A13" zoomScale="50" zoomScaleNormal="50" workbookViewId="0">
      <selection activeCell="H12" sqref="H12"/>
    </sheetView>
  </sheetViews>
  <sheetFormatPr defaultColWidth="8.85546875" defaultRowHeight="12.75" x14ac:dyDescent="0.2"/>
  <cols>
    <col min="1" max="1" width="12.7109375" style="3" customWidth="1"/>
    <col min="2" max="2" width="4.85546875" style="3" customWidth="1"/>
    <col min="3" max="3" width="3.28515625" style="3" customWidth="1"/>
    <col min="4" max="4" width="5.42578125" style="3" customWidth="1"/>
    <col min="5" max="5" width="12.7109375" style="3" customWidth="1"/>
    <col min="6" max="14" width="10.7109375" style="3" customWidth="1"/>
    <col min="15" max="16384" width="8.85546875" style="3"/>
  </cols>
  <sheetData>
    <row r="1" spans="1:20" ht="30" customHeight="1" x14ac:dyDescent="0.2">
      <c r="A1" s="169" t="s">
        <v>23</v>
      </c>
    </row>
    <row r="2" spans="1:20" s="139" customFormat="1" ht="30" customHeight="1" x14ac:dyDescent="0.2">
      <c r="A2" s="51"/>
      <c r="B2" s="52"/>
      <c r="C2" s="52"/>
      <c r="D2" s="52"/>
      <c r="E2" s="52"/>
      <c r="F2" s="52"/>
      <c r="G2" s="52"/>
    </row>
    <row r="3" spans="1:20" s="143" customFormat="1" ht="30" customHeight="1" x14ac:dyDescent="0.2">
      <c r="A3" s="141" t="s">
        <v>27</v>
      </c>
      <c r="B3" s="142" t="str">
        <f>IF(Master!B3="","",Master!B3)</f>
        <v>Solihull</v>
      </c>
      <c r="C3" s="142"/>
      <c r="K3" s="144" t="s">
        <v>1</v>
      </c>
      <c r="L3" s="247" t="str">
        <f>VLOOKUP(K3,Master!A26:B29,2,FALSE)</f>
        <v>South East</v>
      </c>
      <c r="M3" s="248"/>
      <c r="N3" s="248"/>
    </row>
    <row r="4" spans="1:20" s="143" customFormat="1" ht="30" customHeight="1" x14ac:dyDescent="0.2">
      <c r="A4" s="141" t="s">
        <v>28</v>
      </c>
      <c r="B4" s="142" t="str">
        <f>IF(Master!B4="","",Master!B4)</f>
        <v>10th September 2016</v>
      </c>
      <c r="C4" s="142"/>
      <c r="F4" s="142"/>
      <c r="K4" s="144" t="s">
        <v>2</v>
      </c>
      <c r="L4" s="247" t="str">
        <f>VLOOKUP(K4,Master!A26:B29,2,FALSE)</f>
        <v>South Central</v>
      </c>
      <c r="M4" s="248"/>
      <c r="N4" s="248"/>
    </row>
    <row r="5" spans="1:20" s="143" customFormat="1" ht="30" customHeight="1" x14ac:dyDescent="0.2">
      <c r="A5" s="141"/>
      <c r="B5" s="142"/>
      <c r="C5" s="142"/>
      <c r="F5" s="142"/>
      <c r="K5" s="144" t="s">
        <v>3</v>
      </c>
      <c r="L5" s="247" t="str">
        <f>VLOOKUP(K5,Master!A26:B29,2,FALSE)</f>
        <v>South West</v>
      </c>
      <c r="M5" s="248"/>
      <c r="N5" s="248"/>
    </row>
    <row r="6" spans="1:20" s="143" customFormat="1" ht="30" customHeight="1" x14ac:dyDescent="0.2">
      <c r="A6" s="145" t="s">
        <v>87</v>
      </c>
      <c r="B6" s="144"/>
      <c r="K6" s="144" t="s">
        <v>4</v>
      </c>
      <c r="L6" s="247" t="str">
        <f>VLOOKUP(K6,Master!A26:B29,2,FALSE)</f>
        <v>North</v>
      </c>
      <c r="M6" s="248"/>
      <c r="N6" s="248"/>
    </row>
    <row r="7" spans="1:20" ht="13.5" thickBot="1" x14ac:dyDescent="0.25"/>
    <row r="8" spans="1:20" ht="30" customHeight="1" x14ac:dyDescent="0.2">
      <c r="A8" s="415" t="str">
        <f>Master!$B$21</f>
        <v>Blues</v>
      </c>
      <c r="B8" s="416"/>
      <c r="C8" s="416"/>
      <c r="D8" s="416"/>
      <c r="E8" s="417"/>
      <c r="F8" s="339" t="s">
        <v>6</v>
      </c>
      <c r="G8" s="372"/>
      <c r="H8" s="372"/>
      <c r="I8" s="372"/>
      <c r="J8" s="395"/>
      <c r="K8" s="339" t="s">
        <v>7</v>
      </c>
      <c r="L8" s="372"/>
      <c r="M8" s="372"/>
      <c r="N8" s="395"/>
      <c r="P8" s="342" t="s">
        <v>10</v>
      </c>
      <c r="Q8" s="412"/>
      <c r="R8" s="412"/>
      <c r="S8" s="412"/>
      <c r="T8" s="412"/>
    </row>
    <row r="9" spans="1:20" ht="30" customHeight="1" x14ac:dyDescent="0.2">
      <c r="A9" s="344" t="s">
        <v>79</v>
      </c>
      <c r="B9" s="345"/>
      <c r="C9" s="345"/>
      <c r="D9" s="345"/>
      <c r="E9" s="346"/>
      <c r="F9" s="9">
        <v>1</v>
      </c>
      <c r="G9" s="7">
        <v>2</v>
      </c>
      <c r="H9" s="7">
        <v>3</v>
      </c>
      <c r="I9" s="7">
        <v>4</v>
      </c>
      <c r="J9" s="14">
        <v>5</v>
      </c>
      <c r="K9" s="9" t="s">
        <v>1</v>
      </c>
      <c r="L9" s="7" t="s">
        <v>2</v>
      </c>
      <c r="M9" s="7" t="s">
        <v>3</v>
      </c>
      <c r="N9" s="14" t="s">
        <v>4</v>
      </c>
      <c r="P9" s="4" t="s">
        <v>1</v>
      </c>
      <c r="Q9" s="4" t="s">
        <v>2</v>
      </c>
      <c r="R9" s="4" t="s">
        <v>3</v>
      </c>
      <c r="S9" s="4" t="s">
        <v>4</v>
      </c>
      <c r="T9" s="5" t="s">
        <v>11</v>
      </c>
    </row>
    <row r="10" spans="1:20" ht="30" customHeight="1" x14ac:dyDescent="0.2">
      <c r="A10" s="159"/>
      <c r="B10" s="155" t="s">
        <v>1</v>
      </c>
      <c r="C10" s="156" t="s">
        <v>9</v>
      </c>
      <c r="D10" s="157" t="s">
        <v>2</v>
      </c>
      <c r="E10" s="134"/>
      <c r="F10" s="6" t="s">
        <v>2</v>
      </c>
      <c r="G10" s="8" t="s">
        <v>1</v>
      </c>
      <c r="H10" s="8" t="s">
        <v>2</v>
      </c>
      <c r="I10" s="251" t="s">
        <v>102</v>
      </c>
      <c r="J10" s="134" t="s">
        <v>102</v>
      </c>
      <c r="K10" s="9">
        <f t="shared" ref="K10:K15" si="0">IF(OR(F10="",G10="",H10="",I10="",J10=""),"",IF(OR($B10="A",$D10="A"),IF(P10=(Q10+R10+S10),4,IF(P10&gt;(Q10+R10+S10),6,2)),""))</f>
        <v>2</v>
      </c>
      <c r="L10" s="7">
        <f t="shared" ref="L10:L15" si="1">IF(OR(F10="",G10="",H10="",I10="",J10=""),"",IF(OR($B10="B",$D10="B"),IF(Q10=(P10+R10+S10),4,IF(Q10&gt;(P10+R10+S10),6,2)),""))</f>
        <v>6</v>
      </c>
      <c r="M10" s="10" t="str">
        <f t="shared" ref="M10:M15" si="2">IF(OR(F10="",G10="",H10="",I10="",J10=""),"",IF(OR($B10="C",$D10="C"),IF(R10=(P10+Q10+S10),4,IF(R10&gt;(P10+Q10+S10),6,2)),""))</f>
        <v/>
      </c>
      <c r="N10" s="11" t="str">
        <f t="shared" ref="N10:N15" si="3">IF(OR(F10="",G10="",H10="",I10="",J10=""),"",IF(OR($B10="D",$D10="D"),IF(S10=(P10+Q10+R10),4,IF(S10&gt;(P10+Q10+R10),6,2)),""))</f>
        <v/>
      </c>
      <c r="P10" s="12">
        <f t="shared" ref="P10:P15" si="4">IF($F10="A",1,0)+IF($G10="A",1,0)+IF($H10="A",1,0)+IF($I10="A",1,0)+IF($J10="A",1,0)</f>
        <v>1</v>
      </c>
      <c r="Q10" s="12">
        <f t="shared" ref="Q10:Q15" si="5">IF($F10="B",1,0)+IF($G10="B",1,0)+IF($H10="B",1,0)+IF($I10="B",1,0)+IF($J10="B",1,0)</f>
        <v>2</v>
      </c>
      <c r="R10" s="12">
        <f t="shared" ref="R10:R15" si="6">IF($F10="C",1,0)+IF($G10="C",1,0)+IF($H10="C",1,0)+IF($I10="C",1,0)+IF($J10="C",1,0)</f>
        <v>0</v>
      </c>
      <c r="S10" s="12">
        <f t="shared" ref="S10:S15" si="7">IF($F10="D",1,0)+IF($G10="D",1,0)+IF($H10="D",1,0)+IF($I10="D",1,0)+IF($J10="D",1,0)</f>
        <v>0</v>
      </c>
      <c r="T10" s="12">
        <f t="shared" ref="T10:T15" si="8">IF($F10="X",1,0)+IF($G10="X",1,0)+IF($H10="X",1,0)+IF($I10="X",1,0)+IF($J10="X",1,0)</f>
        <v>2</v>
      </c>
    </row>
    <row r="11" spans="1:20" ht="30" customHeight="1" x14ac:dyDescent="0.2">
      <c r="A11" s="159"/>
      <c r="B11" s="155" t="s">
        <v>4</v>
      </c>
      <c r="C11" s="156" t="s">
        <v>9</v>
      </c>
      <c r="D11" s="157" t="s">
        <v>3</v>
      </c>
      <c r="E11" s="134"/>
      <c r="F11" s="6" t="s">
        <v>4</v>
      </c>
      <c r="G11" s="8" t="s">
        <v>3</v>
      </c>
      <c r="H11" s="8" t="s">
        <v>3</v>
      </c>
      <c r="I11" s="251" t="s">
        <v>102</v>
      </c>
      <c r="J11" s="134" t="s">
        <v>102</v>
      </c>
      <c r="K11" s="13" t="str">
        <f t="shared" si="0"/>
        <v/>
      </c>
      <c r="L11" s="10" t="str">
        <f t="shared" si="1"/>
        <v/>
      </c>
      <c r="M11" s="7">
        <f t="shared" si="2"/>
        <v>6</v>
      </c>
      <c r="N11" s="14">
        <f t="shared" si="3"/>
        <v>2</v>
      </c>
      <c r="P11" s="12">
        <f t="shared" si="4"/>
        <v>0</v>
      </c>
      <c r="Q11" s="12">
        <f t="shared" si="5"/>
        <v>0</v>
      </c>
      <c r="R11" s="12">
        <f t="shared" si="6"/>
        <v>2</v>
      </c>
      <c r="S11" s="12">
        <f t="shared" si="7"/>
        <v>1</v>
      </c>
      <c r="T11" s="12">
        <f t="shared" si="8"/>
        <v>2</v>
      </c>
    </row>
    <row r="12" spans="1:20" ht="30" customHeight="1" x14ac:dyDescent="0.2">
      <c r="A12" s="219" t="str">
        <f>VLOOKUP(B12,Lookup!C$22:I$25,2,FALSE)</f>
        <v/>
      </c>
      <c r="B12" s="132" t="s">
        <v>2</v>
      </c>
      <c r="C12" s="147" t="s">
        <v>9</v>
      </c>
      <c r="D12" s="133" t="s">
        <v>3</v>
      </c>
      <c r="E12" s="220" t="str">
        <f>VLOOKUP(D12,Lookup!C$22:I$25,2,FALSE)</f>
        <v/>
      </c>
      <c r="F12" s="6" t="s">
        <v>3</v>
      </c>
      <c r="G12" s="8" t="s">
        <v>3</v>
      </c>
      <c r="H12" s="8" t="s">
        <v>3</v>
      </c>
      <c r="I12" s="251" t="s">
        <v>102</v>
      </c>
      <c r="J12" s="134" t="s">
        <v>102</v>
      </c>
      <c r="K12" s="13" t="str">
        <f t="shared" si="0"/>
        <v/>
      </c>
      <c r="L12" s="7">
        <f t="shared" si="1"/>
        <v>2</v>
      </c>
      <c r="M12" s="7">
        <f t="shared" si="2"/>
        <v>6</v>
      </c>
      <c r="N12" s="11" t="str">
        <f t="shared" si="3"/>
        <v/>
      </c>
      <c r="P12" s="12">
        <f t="shared" si="4"/>
        <v>0</v>
      </c>
      <c r="Q12" s="12">
        <f t="shared" si="5"/>
        <v>0</v>
      </c>
      <c r="R12" s="12">
        <f t="shared" si="6"/>
        <v>3</v>
      </c>
      <c r="S12" s="12">
        <f t="shared" si="7"/>
        <v>0</v>
      </c>
      <c r="T12" s="12">
        <f t="shared" si="8"/>
        <v>2</v>
      </c>
    </row>
    <row r="13" spans="1:20" ht="30" customHeight="1" x14ac:dyDescent="0.2">
      <c r="A13" s="219">
        <f>VLOOKUP(B13,Lookup!C$22:I$25,2,FALSE)</f>
        <v>25</v>
      </c>
      <c r="B13" s="132" t="s">
        <v>1</v>
      </c>
      <c r="C13" s="147" t="s">
        <v>9</v>
      </c>
      <c r="D13" s="133" t="s">
        <v>4</v>
      </c>
      <c r="E13" s="220" t="str">
        <f>VLOOKUP(D13,Lookup!C$22:I$25,2,FALSE)</f>
        <v/>
      </c>
      <c r="F13" s="6" t="s">
        <v>4</v>
      </c>
      <c r="G13" s="8" t="s">
        <v>4</v>
      </c>
      <c r="H13" s="8" t="s">
        <v>4</v>
      </c>
      <c r="I13" s="251" t="s">
        <v>102</v>
      </c>
      <c r="J13" s="134" t="s">
        <v>102</v>
      </c>
      <c r="K13" s="9">
        <f t="shared" si="0"/>
        <v>2</v>
      </c>
      <c r="L13" s="10" t="str">
        <f t="shared" si="1"/>
        <v/>
      </c>
      <c r="M13" s="10" t="str">
        <f t="shared" si="2"/>
        <v/>
      </c>
      <c r="N13" s="14">
        <f t="shared" si="3"/>
        <v>6</v>
      </c>
      <c r="P13" s="12">
        <f t="shared" si="4"/>
        <v>0</v>
      </c>
      <c r="Q13" s="12">
        <f t="shared" si="5"/>
        <v>0</v>
      </c>
      <c r="R13" s="12">
        <f t="shared" si="6"/>
        <v>0</v>
      </c>
      <c r="S13" s="12">
        <f t="shared" si="7"/>
        <v>3</v>
      </c>
      <c r="T13" s="12">
        <f t="shared" si="8"/>
        <v>2</v>
      </c>
    </row>
    <row r="14" spans="1:20" ht="30" customHeight="1" x14ac:dyDescent="0.2">
      <c r="A14" s="219">
        <f>VLOOKUP(B14,Lookup!C$22:I$25,3,FALSE)</f>
        <v>25</v>
      </c>
      <c r="B14" s="132" t="s">
        <v>4</v>
      </c>
      <c r="C14" s="147" t="s">
        <v>9</v>
      </c>
      <c r="D14" s="133" t="s">
        <v>2</v>
      </c>
      <c r="E14" s="220">
        <f>VLOOKUP(D14,Lookup!C$22:I$25,3,FALSE)</f>
        <v>25</v>
      </c>
      <c r="F14" s="6" t="s">
        <v>2</v>
      </c>
      <c r="G14" s="8" t="s">
        <v>2</v>
      </c>
      <c r="H14" s="8" t="s">
        <v>2</v>
      </c>
      <c r="I14" s="251" t="s">
        <v>102</v>
      </c>
      <c r="J14" s="134" t="s">
        <v>102</v>
      </c>
      <c r="K14" s="13" t="str">
        <f t="shared" si="0"/>
        <v/>
      </c>
      <c r="L14" s="7">
        <f t="shared" si="1"/>
        <v>6</v>
      </c>
      <c r="M14" s="10" t="str">
        <f t="shared" si="2"/>
        <v/>
      </c>
      <c r="N14" s="14">
        <f t="shared" si="3"/>
        <v>2</v>
      </c>
      <c r="P14" s="12">
        <f t="shared" si="4"/>
        <v>0</v>
      </c>
      <c r="Q14" s="12">
        <f t="shared" si="5"/>
        <v>3</v>
      </c>
      <c r="R14" s="12">
        <f t="shared" si="6"/>
        <v>0</v>
      </c>
      <c r="S14" s="12">
        <f t="shared" si="7"/>
        <v>0</v>
      </c>
      <c r="T14" s="12">
        <f t="shared" si="8"/>
        <v>2</v>
      </c>
    </row>
    <row r="15" spans="1:20" ht="30" customHeight="1" thickBot="1" x14ac:dyDescent="0.25">
      <c r="A15" s="246">
        <f>VLOOKUP(B15,Lookup!C$22:I$25,3,FALSE)</f>
        <v>25</v>
      </c>
      <c r="B15" s="135" t="s">
        <v>3</v>
      </c>
      <c r="C15" s="153" t="s">
        <v>9</v>
      </c>
      <c r="D15" s="136" t="s">
        <v>1</v>
      </c>
      <c r="E15" s="243" t="str">
        <f>VLOOKUP(D15,Lookup!C$22:I$25,3,FALSE)</f>
        <v/>
      </c>
      <c r="F15" s="15" t="s">
        <v>1</v>
      </c>
      <c r="G15" s="16" t="s">
        <v>1</v>
      </c>
      <c r="H15" s="16" t="s">
        <v>1</v>
      </c>
      <c r="I15" s="252" t="s">
        <v>102</v>
      </c>
      <c r="J15" s="253" t="s">
        <v>102</v>
      </c>
      <c r="K15" s="9">
        <f t="shared" si="0"/>
        <v>6</v>
      </c>
      <c r="L15" s="10" t="str">
        <f t="shared" si="1"/>
        <v/>
      </c>
      <c r="M15" s="7">
        <f t="shared" si="2"/>
        <v>2</v>
      </c>
      <c r="N15" s="11" t="str">
        <f t="shared" si="3"/>
        <v/>
      </c>
      <c r="P15" s="12">
        <f t="shared" si="4"/>
        <v>3</v>
      </c>
      <c r="Q15" s="12">
        <f t="shared" si="5"/>
        <v>0</v>
      </c>
      <c r="R15" s="12">
        <f t="shared" si="6"/>
        <v>0</v>
      </c>
      <c r="S15" s="12">
        <f t="shared" si="7"/>
        <v>0</v>
      </c>
      <c r="T15" s="12">
        <f t="shared" si="8"/>
        <v>2</v>
      </c>
    </row>
    <row r="16" spans="1:20" ht="30" customHeight="1" thickBot="1" x14ac:dyDescent="0.25">
      <c r="A16" s="350" t="s">
        <v>8</v>
      </c>
      <c r="B16" s="403"/>
      <c r="C16" s="403"/>
      <c r="D16" s="403"/>
      <c r="E16" s="403"/>
      <c r="F16" s="403"/>
      <c r="G16" s="403"/>
      <c r="H16" s="403"/>
      <c r="I16" s="403"/>
      <c r="J16" s="403"/>
      <c r="K16" s="160">
        <f>SUM(K10:K15)</f>
        <v>10</v>
      </c>
      <c r="L16" s="161">
        <f>SUM(L10:L15)</f>
        <v>14</v>
      </c>
      <c r="M16" s="161">
        <f>SUM(M10:M15)</f>
        <v>14</v>
      </c>
      <c r="N16" s="162">
        <f>SUM(N10:N15)</f>
        <v>10</v>
      </c>
    </row>
    <row r="18" spans="1:20" ht="13.5" thickBot="1" x14ac:dyDescent="0.25"/>
    <row r="19" spans="1:20" ht="30" customHeight="1" x14ac:dyDescent="0.2">
      <c r="A19" s="415" t="str">
        <f>Master!$B$22</f>
        <v>Starlight Waltz</v>
      </c>
      <c r="B19" s="416"/>
      <c r="C19" s="416"/>
      <c r="D19" s="416"/>
      <c r="E19" s="417"/>
      <c r="F19" s="339" t="s">
        <v>6</v>
      </c>
      <c r="G19" s="372"/>
      <c r="H19" s="372"/>
      <c r="I19" s="372"/>
      <c r="J19" s="395"/>
      <c r="K19" s="372" t="s">
        <v>7</v>
      </c>
      <c r="L19" s="372"/>
      <c r="M19" s="372"/>
      <c r="N19" s="395"/>
      <c r="P19" s="342" t="s">
        <v>10</v>
      </c>
      <c r="Q19" s="412"/>
      <c r="R19" s="412"/>
      <c r="S19" s="412"/>
      <c r="T19" s="412"/>
    </row>
    <row r="20" spans="1:20" ht="30" customHeight="1" x14ac:dyDescent="0.2">
      <c r="A20" s="344" t="s">
        <v>79</v>
      </c>
      <c r="B20" s="345"/>
      <c r="C20" s="345"/>
      <c r="D20" s="345"/>
      <c r="E20" s="346"/>
      <c r="F20" s="9">
        <v>1</v>
      </c>
      <c r="G20" s="7">
        <v>2</v>
      </c>
      <c r="H20" s="7">
        <v>3</v>
      </c>
      <c r="I20" s="7">
        <v>4</v>
      </c>
      <c r="J20" s="14">
        <v>5</v>
      </c>
      <c r="K20" s="7" t="s">
        <v>1</v>
      </c>
      <c r="L20" s="7" t="s">
        <v>2</v>
      </c>
      <c r="M20" s="7" t="s">
        <v>3</v>
      </c>
      <c r="N20" s="14" t="s">
        <v>4</v>
      </c>
      <c r="P20" s="4" t="s">
        <v>1</v>
      </c>
      <c r="Q20" s="4" t="s">
        <v>2</v>
      </c>
      <c r="R20" s="4" t="s">
        <v>3</v>
      </c>
      <c r="S20" s="4" t="s">
        <v>4</v>
      </c>
      <c r="T20" s="5" t="s">
        <v>11</v>
      </c>
    </row>
    <row r="21" spans="1:20" ht="30" customHeight="1" x14ac:dyDescent="0.2">
      <c r="A21" s="219" t="str">
        <f>VLOOKUP(B21,Lookup!C$22:I$25,4,FALSE)</f>
        <v/>
      </c>
      <c r="B21" s="155" t="s">
        <v>1</v>
      </c>
      <c r="C21" s="156" t="s">
        <v>9</v>
      </c>
      <c r="D21" s="157" t="s">
        <v>2</v>
      </c>
      <c r="E21" s="220">
        <f>VLOOKUP(D21,Lookup!C$22:I$25,4,FALSE)</f>
        <v>50</v>
      </c>
      <c r="F21" s="6" t="s">
        <v>2</v>
      </c>
      <c r="G21" s="8" t="s">
        <v>2</v>
      </c>
      <c r="H21" s="8" t="s">
        <v>2</v>
      </c>
      <c r="I21" s="251" t="s">
        <v>102</v>
      </c>
      <c r="J21" s="134" t="s">
        <v>102</v>
      </c>
      <c r="K21" s="7">
        <f t="shared" ref="K21:K26" si="9">IF(OR(F21="",G21="",H21="",I21="",J21=""),"",IF(OR($B21="A",$D21="A"),IF(P21=(Q21+R21+S21),4,IF(P21&gt;(Q21+R21+S21),6,2)),""))</f>
        <v>2</v>
      </c>
      <c r="L21" s="7">
        <f t="shared" ref="L21:L26" si="10">IF(OR(F21="",G21="",H21="",I21="",J21=""),"",IF(OR($B21="B",$D21="B"),IF(Q21=(P21+R21+S21),4,IF(Q21&gt;(P21+R21+S21),6,2)),""))</f>
        <v>6</v>
      </c>
      <c r="M21" s="10" t="str">
        <f t="shared" ref="M21:M26" si="11">IF(OR(F21="",G21="",H21="",I21="",J21=""),"",IF(OR($B21="C",$D21="C"),IF(R21=(P21+Q21+S21),4,IF(R21&gt;(P21+Q21+S21),6,2)),""))</f>
        <v/>
      </c>
      <c r="N21" s="11" t="str">
        <f t="shared" ref="N21:N26" si="12">IF(OR(F21="",G21="",H21="",I21="",J21=""),"",IF(OR($B21="D",$D21="D"),IF(S21=(P21+Q21+R21),4,IF(S21&gt;(P21+Q21+R21),6,2)),""))</f>
        <v/>
      </c>
      <c r="P21" s="12">
        <f t="shared" ref="P21:P26" si="13">IF($F21="A",1,0)+IF($G21="A",1,0)+IF($H21="A",1,0)+IF($I21="A",1,0)+IF($J21="A",1,0)</f>
        <v>0</v>
      </c>
      <c r="Q21" s="12">
        <f t="shared" ref="Q21:Q26" si="14">IF($F21="B",1,0)+IF($G21="B",1,0)+IF($H21="B",1,0)+IF($I21="B",1,0)+IF($J21="B",1,0)</f>
        <v>3</v>
      </c>
      <c r="R21" s="12">
        <f t="shared" ref="R21:R26" si="15">IF($F21="C",1,0)+IF($G21="C",1,0)+IF($H21="C",1,0)+IF($I21="C",1,0)+IF($J21="C",1,0)</f>
        <v>0</v>
      </c>
      <c r="S21" s="12">
        <f t="shared" ref="S21:S26" si="16">IF($F21="D",1,0)+IF($G21="D",1,0)+IF($H21="D",1,0)+IF($I21="D",1,0)+IF($J21="D",1,0)</f>
        <v>0</v>
      </c>
      <c r="T21" s="12">
        <f t="shared" ref="T21:T26" si="17">IF($F21="X",1,0)+IF($G21="X",1,0)+IF($H21="X",1,0)+IF($I21="X",1,0)+IF($J21="X",1,0)</f>
        <v>2</v>
      </c>
    </row>
    <row r="22" spans="1:20" ht="30" customHeight="1" x14ac:dyDescent="0.2">
      <c r="A22" s="219">
        <f>VLOOKUP(B22,Lookup!C$22:I$25,4,FALSE)</f>
        <v>25</v>
      </c>
      <c r="B22" s="155" t="s">
        <v>4</v>
      </c>
      <c r="C22" s="156" t="s">
        <v>9</v>
      </c>
      <c r="D22" s="157" t="s">
        <v>3</v>
      </c>
      <c r="E22" s="220" t="str">
        <f>VLOOKUP(D22,Lookup!C$22:I$25,4,FALSE)</f>
        <v/>
      </c>
      <c r="F22" s="6" t="s">
        <v>3</v>
      </c>
      <c r="G22" s="8" t="s">
        <v>3</v>
      </c>
      <c r="H22" s="8" t="s">
        <v>3</v>
      </c>
      <c r="I22" s="251" t="s">
        <v>102</v>
      </c>
      <c r="J22" s="134" t="s">
        <v>102</v>
      </c>
      <c r="K22" s="10" t="str">
        <f t="shared" si="9"/>
        <v/>
      </c>
      <c r="L22" s="10" t="str">
        <f t="shared" si="10"/>
        <v/>
      </c>
      <c r="M22" s="7">
        <f t="shared" si="11"/>
        <v>6</v>
      </c>
      <c r="N22" s="14">
        <f t="shared" si="12"/>
        <v>2</v>
      </c>
      <c r="P22" s="12">
        <f t="shared" si="13"/>
        <v>0</v>
      </c>
      <c r="Q22" s="12">
        <f t="shared" si="14"/>
        <v>0</v>
      </c>
      <c r="R22" s="12">
        <f t="shared" si="15"/>
        <v>3</v>
      </c>
      <c r="S22" s="12">
        <f t="shared" si="16"/>
        <v>0</v>
      </c>
      <c r="T22" s="12">
        <f t="shared" si="17"/>
        <v>2</v>
      </c>
    </row>
    <row r="23" spans="1:20" ht="30" customHeight="1" x14ac:dyDescent="0.2">
      <c r="A23" s="219">
        <f>VLOOKUP(B23,Lookup!C$22:I$25,5,FALSE)</f>
        <v>25</v>
      </c>
      <c r="B23" s="132" t="s">
        <v>2</v>
      </c>
      <c r="C23" s="147" t="s">
        <v>9</v>
      </c>
      <c r="D23" s="133" t="s">
        <v>3</v>
      </c>
      <c r="E23" s="220" t="str">
        <f>VLOOKUP(D23,Lookup!C$22:I$25,5,FALSE)</f>
        <v/>
      </c>
      <c r="F23" s="6" t="s">
        <v>2</v>
      </c>
      <c r="G23" s="8" t="s">
        <v>2</v>
      </c>
      <c r="H23" s="8" t="s">
        <v>2</v>
      </c>
      <c r="I23" s="251" t="s">
        <v>102</v>
      </c>
      <c r="J23" s="134" t="s">
        <v>102</v>
      </c>
      <c r="K23" s="10" t="str">
        <f t="shared" si="9"/>
        <v/>
      </c>
      <c r="L23" s="7">
        <f t="shared" si="10"/>
        <v>6</v>
      </c>
      <c r="M23" s="7">
        <f t="shared" si="11"/>
        <v>2</v>
      </c>
      <c r="N23" s="11" t="str">
        <f t="shared" si="12"/>
        <v/>
      </c>
      <c r="P23" s="12">
        <f t="shared" si="13"/>
        <v>0</v>
      </c>
      <c r="Q23" s="12">
        <f t="shared" si="14"/>
        <v>3</v>
      </c>
      <c r="R23" s="12">
        <f t="shared" si="15"/>
        <v>0</v>
      </c>
      <c r="S23" s="12">
        <f t="shared" si="16"/>
        <v>0</v>
      </c>
      <c r="T23" s="12">
        <f t="shared" si="17"/>
        <v>2</v>
      </c>
    </row>
    <row r="24" spans="1:20" ht="30" customHeight="1" x14ac:dyDescent="0.2">
      <c r="A24" s="219" t="str">
        <f>VLOOKUP(B24,Lookup!C$22:I$25,5,FALSE)</f>
        <v/>
      </c>
      <c r="B24" s="132" t="s">
        <v>1</v>
      </c>
      <c r="C24" s="147" t="s">
        <v>9</v>
      </c>
      <c r="D24" s="133" t="s">
        <v>4</v>
      </c>
      <c r="E24" s="220" t="str">
        <f>VLOOKUP(D24,Lookup!C$22:I$25,5,FALSE)</f>
        <v/>
      </c>
      <c r="F24" s="6" t="s">
        <v>4</v>
      </c>
      <c r="G24" s="8" t="s">
        <v>4</v>
      </c>
      <c r="H24" s="8" t="s">
        <v>4</v>
      </c>
      <c r="I24" s="251" t="s">
        <v>102</v>
      </c>
      <c r="J24" s="134" t="s">
        <v>102</v>
      </c>
      <c r="K24" s="7">
        <f t="shared" si="9"/>
        <v>2</v>
      </c>
      <c r="L24" s="10" t="str">
        <f t="shared" si="10"/>
        <v/>
      </c>
      <c r="M24" s="10" t="str">
        <f t="shared" si="11"/>
        <v/>
      </c>
      <c r="N24" s="14">
        <f t="shared" si="12"/>
        <v>6</v>
      </c>
      <c r="P24" s="12">
        <f t="shared" si="13"/>
        <v>0</v>
      </c>
      <c r="Q24" s="12">
        <f t="shared" si="14"/>
        <v>0</v>
      </c>
      <c r="R24" s="12">
        <f t="shared" si="15"/>
        <v>0</v>
      </c>
      <c r="S24" s="12">
        <f t="shared" si="16"/>
        <v>3</v>
      </c>
      <c r="T24" s="12">
        <f t="shared" si="17"/>
        <v>2</v>
      </c>
    </row>
    <row r="25" spans="1:20" ht="30" customHeight="1" x14ac:dyDescent="0.2">
      <c r="A25" s="219">
        <f>VLOOKUP(B25,Lookup!C$22:I$25,6,FALSE)</f>
        <v>25</v>
      </c>
      <c r="B25" s="132" t="s">
        <v>4</v>
      </c>
      <c r="C25" s="147" t="s">
        <v>9</v>
      </c>
      <c r="D25" s="133" t="s">
        <v>2</v>
      </c>
      <c r="E25" s="220">
        <f>VLOOKUP(D25,Lookup!C$22:I$25,6,FALSE)</f>
        <v>25</v>
      </c>
      <c r="F25" s="6" t="s">
        <v>2</v>
      </c>
      <c r="G25" s="8" t="s">
        <v>2</v>
      </c>
      <c r="H25" s="8" t="s">
        <v>2</v>
      </c>
      <c r="I25" s="251" t="s">
        <v>102</v>
      </c>
      <c r="J25" s="134" t="s">
        <v>102</v>
      </c>
      <c r="K25" s="10" t="str">
        <f t="shared" si="9"/>
        <v/>
      </c>
      <c r="L25" s="7">
        <f t="shared" si="10"/>
        <v>6</v>
      </c>
      <c r="M25" s="10" t="str">
        <f t="shared" si="11"/>
        <v/>
      </c>
      <c r="N25" s="14">
        <f t="shared" si="12"/>
        <v>2</v>
      </c>
      <c r="P25" s="12">
        <f t="shared" si="13"/>
        <v>0</v>
      </c>
      <c r="Q25" s="12">
        <f t="shared" si="14"/>
        <v>3</v>
      </c>
      <c r="R25" s="12">
        <f t="shared" si="15"/>
        <v>0</v>
      </c>
      <c r="S25" s="12">
        <f t="shared" si="16"/>
        <v>0</v>
      </c>
      <c r="T25" s="12">
        <f t="shared" si="17"/>
        <v>2</v>
      </c>
    </row>
    <row r="26" spans="1:20" ht="30" customHeight="1" thickBot="1" x14ac:dyDescent="0.25">
      <c r="A26" s="246">
        <f>VLOOKUP(B26,Lookup!C$22:I$25,6,FALSE)</f>
        <v>25</v>
      </c>
      <c r="B26" s="135" t="s">
        <v>3</v>
      </c>
      <c r="C26" s="153" t="s">
        <v>9</v>
      </c>
      <c r="D26" s="136" t="s">
        <v>1</v>
      </c>
      <c r="E26" s="243">
        <f>VLOOKUP(D26,Lookup!C$22:I$25,6,FALSE)</f>
        <v>50</v>
      </c>
      <c r="F26" s="15" t="s">
        <v>1</v>
      </c>
      <c r="G26" s="16" t="s">
        <v>1</v>
      </c>
      <c r="H26" s="16" t="s">
        <v>1</v>
      </c>
      <c r="I26" s="252" t="s">
        <v>102</v>
      </c>
      <c r="J26" s="253" t="s">
        <v>102</v>
      </c>
      <c r="K26" s="19">
        <f t="shared" si="9"/>
        <v>6</v>
      </c>
      <c r="L26" s="18" t="str">
        <f t="shared" si="10"/>
        <v/>
      </c>
      <c r="M26" s="19">
        <f t="shared" si="11"/>
        <v>2</v>
      </c>
      <c r="N26" s="20" t="str">
        <f t="shared" si="12"/>
        <v/>
      </c>
      <c r="P26" s="12">
        <f t="shared" si="13"/>
        <v>3</v>
      </c>
      <c r="Q26" s="12">
        <f t="shared" si="14"/>
        <v>0</v>
      </c>
      <c r="R26" s="12">
        <f t="shared" si="15"/>
        <v>0</v>
      </c>
      <c r="S26" s="12">
        <f t="shared" si="16"/>
        <v>0</v>
      </c>
      <c r="T26" s="12">
        <f t="shared" si="17"/>
        <v>2</v>
      </c>
    </row>
    <row r="27" spans="1:20" ht="30" customHeight="1" thickBot="1" x14ac:dyDescent="0.25">
      <c r="A27" s="350" t="s">
        <v>8</v>
      </c>
      <c r="B27" s="403"/>
      <c r="C27" s="403"/>
      <c r="D27" s="403"/>
      <c r="E27" s="403"/>
      <c r="F27" s="403"/>
      <c r="G27" s="403"/>
      <c r="H27" s="403"/>
      <c r="I27" s="403"/>
      <c r="J27" s="403"/>
      <c r="K27" s="21">
        <f>SUM(K21:K26)</f>
        <v>10</v>
      </c>
      <c r="L27" s="22">
        <f>SUM(L21:L26)</f>
        <v>18</v>
      </c>
      <c r="M27" s="22">
        <f>SUM(M21:M26)</f>
        <v>10</v>
      </c>
      <c r="N27" s="23">
        <f>SUM(N21:N26)</f>
        <v>10</v>
      </c>
    </row>
    <row r="30" spans="1:20" ht="13.5" thickBot="1" x14ac:dyDescent="0.25"/>
    <row r="31" spans="1:20" ht="30" customHeight="1" thickBot="1" x14ac:dyDescent="0.25">
      <c r="A31" s="383" t="s">
        <v>13</v>
      </c>
      <c r="B31" s="384"/>
      <c r="C31" s="384"/>
      <c r="D31" s="384"/>
      <c r="E31" s="384"/>
      <c r="F31" s="384"/>
      <c r="G31" s="384"/>
      <c r="H31" s="384"/>
      <c r="I31" s="384"/>
      <c r="J31" s="385"/>
      <c r="K31" s="163" t="s">
        <v>1</v>
      </c>
      <c r="L31" s="164" t="s">
        <v>2</v>
      </c>
      <c r="M31" s="164" t="s">
        <v>3</v>
      </c>
      <c r="N31" s="165" t="s">
        <v>4</v>
      </c>
    </row>
    <row r="32" spans="1:20" ht="30" customHeight="1" x14ac:dyDescent="0.2">
      <c r="A32" s="389" t="s">
        <v>14</v>
      </c>
      <c r="B32" s="390"/>
      <c r="C32" s="390"/>
      <c r="D32" s="390"/>
      <c r="E32" s="390"/>
      <c r="F32" s="390"/>
      <c r="G32" s="390"/>
      <c r="H32" s="390"/>
      <c r="I32" s="390"/>
      <c r="J32" s="391"/>
      <c r="K32" s="24">
        <f>K16+K27</f>
        <v>20</v>
      </c>
      <c r="L32" s="25">
        <f>L16+L27</f>
        <v>32</v>
      </c>
      <c r="M32" s="25">
        <f>M16+M27</f>
        <v>24</v>
      </c>
      <c r="N32" s="26">
        <f>N16+N27</f>
        <v>20</v>
      </c>
    </row>
    <row r="33" spans="1:14" ht="30" customHeight="1" x14ac:dyDescent="0.2">
      <c r="A33" s="386" t="s">
        <v>15</v>
      </c>
      <c r="B33" s="387"/>
      <c r="C33" s="387"/>
      <c r="D33" s="387"/>
      <c r="E33" s="387"/>
      <c r="F33" s="387"/>
      <c r="G33" s="387"/>
      <c r="H33" s="387"/>
      <c r="I33" s="387"/>
      <c r="J33" s="388"/>
      <c r="K33" s="239">
        <f>VLOOKUP(K31,Lookup!$C22:$I25,7,FALSE)</f>
        <v>9</v>
      </c>
      <c r="L33" s="244">
        <f>VLOOKUP(L31,Lookup!$C22:$I25,7,FALSE)</f>
        <v>7</v>
      </c>
      <c r="M33" s="244">
        <f>VLOOKUP(M31,Lookup!$C22:$I25,7,FALSE)</f>
        <v>10</v>
      </c>
      <c r="N33" s="245">
        <f>VLOOKUP(N31,Lookup!$C22:$I25,7,FALSE)</f>
        <v>9</v>
      </c>
    </row>
    <row r="34" spans="1:14" ht="30" customHeight="1" x14ac:dyDescent="0.2">
      <c r="A34" s="386" t="s">
        <v>16</v>
      </c>
      <c r="B34" s="387"/>
      <c r="C34" s="387"/>
      <c r="D34" s="387"/>
      <c r="E34" s="387"/>
      <c r="F34" s="387"/>
      <c r="G34" s="387"/>
      <c r="H34" s="387"/>
      <c r="I34" s="387"/>
      <c r="J34" s="388"/>
      <c r="K34" s="27">
        <f>K56</f>
        <v>3.5</v>
      </c>
      <c r="L34" s="28">
        <f>L56</f>
        <v>7.5</v>
      </c>
      <c r="M34" s="28">
        <f>M56</f>
        <v>1</v>
      </c>
      <c r="N34" s="29">
        <f>N56</f>
        <v>1.5</v>
      </c>
    </row>
    <row r="35" spans="1:14" ht="30" customHeight="1" x14ac:dyDescent="0.2">
      <c r="A35" s="386" t="s">
        <v>103</v>
      </c>
      <c r="B35" s="387"/>
      <c r="C35" s="387"/>
      <c r="D35" s="387"/>
      <c r="E35" s="387"/>
      <c r="F35" s="387"/>
      <c r="G35" s="387"/>
      <c r="H35" s="387"/>
      <c r="I35" s="387"/>
      <c r="J35" s="388"/>
      <c r="K35" s="263"/>
      <c r="L35" s="264"/>
      <c r="M35" s="264"/>
      <c r="N35" s="265"/>
    </row>
    <row r="36" spans="1:14" ht="30" customHeight="1" thickBot="1" x14ac:dyDescent="0.25">
      <c r="A36" s="396" t="s">
        <v>17</v>
      </c>
      <c r="B36" s="397"/>
      <c r="C36" s="397"/>
      <c r="D36" s="397"/>
      <c r="E36" s="397"/>
      <c r="F36" s="397"/>
      <c r="G36" s="397"/>
      <c r="H36" s="397"/>
      <c r="I36" s="397"/>
      <c r="J36" s="398"/>
      <c r="K36" s="30">
        <f>K32+K33-K34+K35</f>
        <v>25.5</v>
      </c>
      <c r="L36" s="31">
        <f>L32+L33-L34+L35</f>
        <v>31.5</v>
      </c>
      <c r="M36" s="31">
        <f>M32+M33-M34+M35</f>
        <v>33</v>
      </c>
      <c r="N36" s="32">
        <f>N32+N33-N34+N35</f>
        <v>27.5</v>
      </c>
    </row>
    <row r="37" spans="1:14" ht="30" customHeight="1" thickBot="1" x14ac:dyDescent="0.25">
      <c r="A37" s="374" t="s">
        <v>12</v>
      </c>
      <c r="B37" s="374"/>
      <c r="C37" s="374"/>
      <c r="D37" s="374"/>
      <c r="E37" s="374"/>
      <c r="F37" s="374"/>
      <c r="G37" s="374"/>
      <c r="H37" s="374"/>
      <c r="I37" s="374"/>
      <c r="J37" s="354"/>
      <c r="K37" s="69">
        <f>IF(SUM($K36:$N36) &gt; 0,RANK(K36,$K36:$N36,0), "")</f>
        <v>4</v>
      </c>
      <c r="L37" s="70">
        <f>IF(SUM($K36:$N36) &gt; 0,RANK(L36,$K36:$N36,0), "")</f>
        <v>2</v>
      </c>
      <c r="M37" s="70">
        <f>IF(SUM($K36:$N36) &gt; 0,RANK(M36,$K36:$N36,0), "")</f>
        <v>1</v>
      </c>
      <c r="N37" s="71">
        <f>IF(SUM($K36:$N36) &gt; 0,RANK(N36,$K36:$N36,0), "")</f>
        <v>3</v>
      </c>
    </row>
    <row r="40" spans="1:14" ht="30" customHeight="1" thickBot="1" x14ac:dyDescent="0.25">
      <c r="A40" s="402" t="s">
        <v>20</v>
      </c>
      <c r="B40" s="402"/>
      <c r="C40" s="402"/>
      <c r="D40" s="402"/>
      <c r="E40" s="402"/>
      <c r="F40" s="366"/>
      <c r="G40" s="366"/>
      <c r="H40" s="366"/>
      <c r="I40" s="366"/>
      <c r="J40" s="366"/>
      <c r="K40" s="366"/>
      <c r="L40" s="366"/>
      <c r="M40" s="366"/>
      <c r="N40" s="366"/>
    </row>
    <row r="41" spans="1:14" ht="30" customHeight="1" x14ac:dyDescent="0.2">
      <c r="A41" s="418" t="str">
        <f>IF(A8="","",A8)</f>
        <v>Blues</v>
      </c>
      <c r="B41" s="419"/>
      <c r="C41" s="419"/>
      <c r="D41" s="419"/>
      <c r="E41" s="420"/>
      <c r="F41" s="372" t="s">
        <v>18</v>
      </c>
      <c r="G41" s="372"/>
      <c r="H41" s="372"/>
      <c r="I41" s="372"/>
      <c r="J41" s="378"/>
      <c r="K41" s="372" t="s">
        <v>19</v>
      </c>
      <c r="L41" s="372"/>
      <c r="M41" s="372"/>
      <c r="N41" s="395"/>
    </row>
    <row r="42" spans="1:14" ht="30" customHeight="1" thickBot="1" x14ac:dyDescent="0.25">
      <c r="A42" s="421" t="s">
        <v>79</v>
      </c>
      <c r="B42" s="422"/>
      <c r="C42" s="422"/>
      <c r="D42" s="422"/>
      <c r="E42" s="423"/>
      <c r="F42" s="19" t="s">
        <v>1</v>
      </c>
      <c r="G42" s="19" t="s">
        <v>2</v>
      </c>
      <c r="H42" s="19" t="s">
        <v>3</v>
      </c>
      <c r="I42" s="170" t="s">
        <v>4</v>
      </c>
      <c r="J42" s="379"/>
      <c r="K42" s="19" t="s">
        <v>1</v>
      </c>
      <c r="L42" s="19" t="s">
        <v>2</v>
      </c>
      <c r="M42" s="19" t="s">
        <v>3</v>
      </c>
      <c r="N42" s="146" t="s">
        <v>4</v>
      </c>
    </row>
    <row r="43" spans="1:14" ht="30" customHeight="1" x14ac:dyDescent="0.2">
      <c r="A43" s="42" t="str">
        <f t="shared" ref="A43:A48" si="18">IF(A10="","",A10)</f>
        <v/>
      </c>
      <c r="B43" s="166" t="s">
        <v>1</v>
      </c>
      <c r="C43" s="167" t="s">
        <v>9</v>
      </c>
      <c r="D43" s="168" t="s">
        <v>2</v>
      </c>
      <c r="E43" s="151" t="str">
        <f t="shared" ref="E43:E48" si="19">IF(E10="","",E10)</f>
        <v/>
      </c>
      <c r="F43" s="148" t="str">
        <f t="shared" ref="F43:F48" si="20">IF(OR(AND($A43&lt;&gt;"",$B43="A"),AND($D43="A",$E43&lt;&gt;"")),K10,"")</f>
        <v/>
      </c>
      <c r="G43" s="34" t="str">
        <f t="shared" ref="G43:G48" si="21">IF(OR(AND($A43&lt;&gt;"",$B43="B"),AND($D43="B",$E43&lt;&gt;"")),L10,"")</f>
        <v/>
      </c>
      <c r="H43" s="34" t="str">
        <f t="shared" ref="H43:H48" si="22">IF(OR(AND($A43&lt;&gt;"",$B43="C"),AND($D43="C",$E43&lt;&gt;"")),M10,"")</f>
        <v/>
      </c>
      <c r="I43" s="171" t="str">
        <f t="shared" ref="I43:I48" si="23">IF(OR(AND($A43&lt;&gt;"",$B43="D"),AND($D43="D",$E43&lt;&gt;"")),N10,"")</f>
        <v/>
      </c>
      <c r="J43" s="379"/>
      <c r="K43" s="174" t="str">
        <f t="shared" ref="K43:K48" si="24">IF(F43&lt;&gt;"",F43*IF($B43="A",$A43/100,1)*IF($D43="A",$E43/100,1),"")</f>
        <v/>
      </c>
      <c r="L43" s="35" t="str">
        <f t="shared" ref="L43:L48" si="25">IF(G43&lt;&gt;"",G43*IF($B43="B",$A43/100,1)*IF($D43="B",$E43/100,1),"")</f>
        <v/>
      </c>
      <c r="M43" s="35" t="str">
        <f t="shared" ref="M43:M48" si="26">IF(H43&lt;&gt;"",H43*IF($B43="C",$A43/100,1)*IF($D43="C",$E43/100,1),"")</f>
        <v/>
      </c>
      <c r="N43" s="36" t="str">
        <f t="shared" ref="N43:N48" si="27">IF(I43&lt;&gt;"",I43*IF($B43="D",$A43/100,1)*IF($D43="D",$E43/100,1),"")</f>
        <v/>
      </c>
    </row>
    <row r="44" spans="1:14" ht="30" customHeight="1" x14ac:dyDescent="0.2">
      <c r="A44" s="37" t="str">
        <f t="shared" si="18"/>
        <v/>
      </c>
      <c r="B44" s="155" t="s">
        <v>4</v>
      </c>
      <c r="C44" s="156" t="s">
        <v>9</v>
      </c>
      <c r="D44" s="157" t="s">
        <v>3</v>
      </c>
      <c r="E44" s="152" t="str">
        <f t="shared" si="19"/>
        <v/>
      </c>
      <c r="F44" s="149" t="str">
        <f t="shared" si="20"/>
        <v/>
      </c>
      <c r="G44" s="38" t="str">
        <f t="shared" si="21"/>
        <v/>
      </c>
      <c r="H44" s="38" t="str">
        <f t="shared" si="22"/>
        <v/>
      </c>
      <c r="I44" s="172" t="str">
        <f t="shared" si="23"/>
        <v/>
      </c>
      <c r="J44" s="379"/>
      <c r="K44" s="28" t="str">
        <f t="shared" si="24"/>
        <v/>
      </c>
      <c r="L44" s="39" t="str">
        <f t="shared" si="25"/>
        <v/>
      </c>
      <c r="M44" s="39" t="str">
        <f t="shared" si="26"/>
        <v/>
      </c>
      <c r="N44" s="40" t="str">
        <f t="shared" si="27"/>
        <v/>
      </c>
    </row>
    <row r="45" spans="1:14" ht="30" customHeight="1" x14ac:dyDescent="0.2">
      <c r="A45" s="37" t="str">
        <f t="shared" si="18"/>
        <v/>
      </c>
      <c r="B45" s="132" t="s">
        <v>2</v>
      </c>
      <c r="C45" s="147" t="s">
        <v>9</v>
      </c>
      <c r="D45" s="133" t="s">
        <v>3</v>
      </c>
      <c r="E45" s="152" t="str">
        <f t="shared" si="19"/>
        <v/>
      </c>
      <c r="F45" s="149" t="str">
        <f t="shared" si="20"/>
        <v/>
      </c>
      <c r="G45" s="38" t="str">
        <f t="shared" si="21"/>
        <v/>
      </c>
      <c r="H45" s="38" t="str">
        <f t="shared" si="22"/>
        <v/>
      </c>
      <c r="I45" s="172" t="str">
        <f t="shared" si="23"/>
        <v/>
      </c>
      <c r="J45" s="379"/>
      <c r="K45" s="28" t="str">
        <f t="shared" si="24"/>
        <v/>
      </c>
      <c r="L45" s="39" t="str">
        <f t="shared" si="25"/>
        <v/>
      </c>
      <c r="M45" s="39" t="str">
        <f t="shared" si="26"/>
        <v/>
      </c>
      <c r="N45" s="40" t="str">
        <f t="shared" si="27"/>
        <v/>
      </c>
    </row>
    <row r="46" spans="1:14" ht="30" customHeight="1" x14ac:dyDescent="0.2">
      <c r="A46" s="37">
        <f t="shared" si="18"/>
        <v>25</v>
      </c>
      <c r="B46" s="132" t="s">
        <v>1</v>
      </c>
      <c r="C46" s="147" t="s">
        <v>9</v>
      </c>
      <c r="D46" s="133" t="s">
        <v>4</v>
      </c>
      <c r="E46" s="152" t="str">
        <f t="shared" si="19"/>
        <v/>
      </c>
      <c r="F46" s="149">
        <f t="shared" si="20"/>
        <v>2</v>
      </c>
      <c r="G46" s="38" t="str">
        <f t="shared" si="21"/>
        <v/>
      </c>
      <c r="H46" s="38" t="str">
        <f t="shared" si="22"/>
        <v/>
      </c>
      <c r="I46" s="172" t="str">
        <f t="shared" si="23"/>
        <v/>
      </c>
      <c r="J46" s="379"/>
      <c r="K46" s="28">
        <f t="shared" si="24"/>
        <v>0.5</v>
      </c>
      <c r="L46" s="39" t="str">
        <f t="shared" si="25"/>
        <v/>
      </c>
      <c r="M46" s="39" t="str">
        <f t="shared" si="26"/>
        <v/>
      </c>
      <c r="N46" s="40" t="str">
        <f t="shared" si="27"/>
        <v/>
      </c>
    </row>
    <row r="47" spans="1:14" ht="30" customHeight="1" x14ac:dyDescent="0.2">
      <c r="A47" s="37">
        <f t="shared" si="18"/>
        <v>25</v>
      </c>
      <c r="B47" s="132" t="s">
        <v>4</v>
      </c>
      <c r="C47" s="147" t="s">
        <v>9</v>
      </c>
      <c r="D47" s="133" t="s">
        <v>2</v>
      </c>
      <c r="E47" s="152">
        <f t="shared" si="19"/>
        <v>25</v>
      </c>
      <c r="F47" s="149" t="str">
        <f t="shared" si="20"/>
        <v/>
      </c>
      <c r="G47" s="38">
        <f t="shared" si="21"/>
        <v>6</v>
      </c>
      <c r="H47" s="38" t="str">
        <f t="shared" si="22"/>
        <v/>
      </c>
      <c r="I47" s="172">
        <f t="shared" si="23"/>
        <v>2</v>
      </c>
      <c r="J47" s="379"/>
      <c r="K47" s="28" t="str">
        <f t="shared" si="24"/>
        <v/>
      </c>
      <c r="L47" s="39">
        <f t="shared" si="25"/>
        <v>1.5</v>
      </c>
      <c r="M47" s="39" t="str">
        <f t="shared" si="26"/>
        <v/>
      </c>
      <c r="N47" s="40">
        <f t="shared" si="27"/>
        <v>0.5</v>
      </c>
    </row>
    <row r="48" spans="1:14" ht="30" customHeight="1" thickBot="1" x14ac:dyDescent="0.25">
      <c r="A48" s="46">
        <f t="shared" si="18"/>
        <v>25</v>
      </c>
      <c r="B48" s="135" t="s">
        <v>3</v>
      </c>
      <c r="C48" s="153" t="s">
        <v>9</v>
      </c>
      <c r="D48" s="136" t="s">
        <v>1</v>
      </c>
      <c r="E48" s="154" t="str">
        <f t="shared" si="19"/>
        <v/>
      </c>
      <c r="F48" s="150" t="str">
        <f t="shared" si="20"/>
        <v/>
      </c>
      <c r="G48" s="41" t="str">
        <f t="shared" si="21"/>
        <v/>
      </c>
      <c r="H48" s="41">
        <f t="shared" si="22"/>
        <v>2</v>
      </c>
      <c r="I48" s="173" t="str">
        <f t="shared" si="23"/>
        <v/>
      </c>
      <c r="J48" s="380"/>
      <c r="K48" s="175" t="str">
        <f t="shared" si="24"/>
        <v/>
      </c>
      <c r="L48" s="31" t="str">
        <f t="shared" si="25"/>
        <v/>
      </c>
      <c r="M48" s="31">
        <f t="shared" si="26"/>
        <v>0.5</v>
      </c>
      <c r="N48" s="32" t="str">
        <f t="shared" si="27"/>
        <v/>
      </c>
    </row>
    <row r="49" spans="1:14" ht="30" customHeight="1" thickBot="1" x14ac:dyDescent="0.25">
      <c r="A49" s="367" t="str">
        <f>IF(A19="","",A19)</f>
        <v>Starlight Waltz</v>
      </c>
      <c r="B49" s="375"/>
      <c r="C49" s="375"/>
      <c r="D49" s="375"/>
      <c r="E49" s="375"/>
      <c r="F49" s="376"/>
      <c r="G49" s="376"/>
      <c r="H49" s="376"/>
      <c r="I49" s="376"/>
      <c r="J49" s="376"/>
      <c r="K49" s="376"/>
      <c r="L49" s="376"/>
      <c r="M49" s="376"/>
      <c r="N49" s="377"/>
    </row>
    <row r="50" spans="1:14" ht="30" customHeight="1" x14ac:dyDescent="0.2">
      <c r="A50" s="33" t="str">
        <f t="shared" ref="A50:A55" si="28">IF(A21="","",A21)</f>
        <v/>
      </c>
      <c r="B50" s="181" t="s">
        <v>1</v>
      </c>
      <c r="C50" s="182" t="s">
        <v>9</v>
      </c>
      <c r="D50" s="183" t="s">
        <v>2</v>
      </c>
      <c r="E50" s="184">
        <f t="shared" ref="E50:E55" si="29">IF(E21="","",E21)</f>
        <v>50</v>
      </c>
      <c r="F50" s="179" t="str">
        <f t="shared" ref="F50:F55" si="30">IF(OR(AND($A50&lt;&gt;"",$B50="A"),AND($D50="A",$E50&lt;&gt;"")),K21,"")</f>
        <v/>
      </c>
      <c r="G50" s="43">
        <f t="shared" ref="G50:G55" si="31">IF(OR(AND($A50&lt;&gt;"",$B50="B"),AND($D50="B",$E50&lt;&gt;"")),L21,"")</f>
        <v>6</v>
      </c>
      <c r="H50" s="43" t="str">
        <f t="shared" ref="H50:H55" si="32">IF(OR(AND($A50&lt;&gt;"",$B50="C"),AND($D50="C",$E50&lt;&gt;"")),M21,"")</f>
        <v/>
      </c>
      <c r="I50" s="176" t="str">
        <f t="shared" ref="I50:I55" si="33">IF(OR(AND($A50&lt;&gt;"",$B50="D"),AND($D50="D",$E50&lt;&gt;"")),N21,"")</f>
        <v/>
      </c>
      <c r="J50" s="371"/>
      <c r="K50" s="178" t="str">
        <f t="shared" ref="K50:K55" si="34">IF(F50&lt;&gt;"",F50*IF($B50="A",$A50/100,1)*IF($D50="A",$E50/100,1),"")</f>
        <v/>
      </c>
      <c r="L50" s="44">
        <f t="shared" ref="L50:L55" si="35">IF(G50&lt;&gt;"",G50*IF($B50="B",$A50/100,1)*IF($D50="B",$E50/100,1),"")</f>
        <v>3</v>
      </c>
      <c r="M50" s="44" t="str">
        <f t="shared" ref="M50:M55" si="36">IF(H50&lt;&gt;"",H50*IF($B50="C",$A50/100,1)*IF($D50="C",$E50/100,1),"")</f>
        <v/>
      </c>
      <c r="N50" s="45" t="str">
        <f t="shared" ref="N50:N55" si="37">IF(I50&lt;&gt;"",I50*IF($B50="D",$A50/100,1)*IF($D50="D",$E50/100,1),"")</f>
        <v/>
      </c>
    </row>
    <row r="51" spans="1:14" ht="30" customHeight="1" x14ac:dyDescent="0.2">
      <c r="A51" s="37">
        <f t="shared" si="28"/>
        <v>25</v>
      </c>
      <c r="B51" s="155" t="s">
        <v>4</v>
      </c>
      <c r="C51" s="156" t="s">
        <v>9</v>
      </c>
      <c r="D51" s="157" t="s">
        <v>3</v>
      </c>
      <c r="E51" s="152" t="str">
        <f t="shared" si="29"/>
        <v/>
      </c>
      <c r="F51" s="149" t="str">
        <f t="shared" si="30"/>
        <v/>
      </c>
      <c r="G51" s="38" t="str">
        <f t="shared" si="31"/>
        <v/>
      </c>
      <c r="H51" s="38" t="str">
        <f t="shared" si="32"/>
        <v/>
      </c>
      <c r="I51" s="172">
        <f t="shared" si="33"/>
        <v>2</v>
      </c>
      <c r="J51" s="381"/>
      <c r="K51" s="28" t="str">
        <f t="shared" si="34"/>
        <v/>
      </c>
      <c r="L51" s="39" t="str">
        <f t="shared" si="35"/>
        <v/>
      </c>
      <c r="M51" s="39" t="str">
        <f t="shared" si="36"/>
        <v/>
      </c>
      <c r="N51" s="40">
        <f t="shared" si="37"/>
        <v>0.5</v>
      </c>
    </row>
    <row r="52" spans="1:14" ht="30" customHeight="1" x14ac:dyDescent="0.2">
      <c r="A52" s="37">
        <f t="shared" si="28"/>
        <v>25</v>
      </c>
      <c r="B52" s="132" t="s">
        <v>2</v>
      </c>
      <c r="C52" s="147" t="s">
        <v>9</v>
      </c>
      <c r="D52" s="133" t="s">
        <v>3</v>
      </c>
      <c r="E52" s="152" t="str">
        <f t="shared" si="29"/>
        <v/>
      </c>
      <c r="F52" s="149" t="str">
        <f t="shared" si="30"/>
        <v/>
      </c>
      <c r="G52" s="38">
        <f t="shared" si="31"/>
        <v>6</v>
      </c>
      <c r="H52" s="38" t="str">
        <f t="shared" si="32"/>
        <v/>
      </c>
      <c r="I52" s="172" t="str">
        <f t="shared" si="33"/>
        <v/>
      </c>
      <c r="J52" s="381"/>
      <c r="K52" s="28" t="str">
        <f t="shared" si="34"/>
        <v/>
      </c>
      <c r="L52" s="39">
        <f t="shared" si="35"/>
        <v>1.5</v>
      </c>
      <c r="M52" s="39" t="str">
        <f t="shared" si="36"/>
        <v/>
      </c>
      <c r="N52" s="40" t="str">
        <f t="shared" si="37"/>
        <v/>
      </c>
    </row>
    <row r="53" spans="1:14" ht="30" customHeight="1" x14ac:dyDescent="0.2">
      <c r="A53" s="37" t="str">
        <f t="shared" si="28"/>
        <v/>
      </c>
      <c r="B53" s="132" t="s">
        <v>1</v>
      </c>
      <c r="C53" s="147" t="s">
        <v>9</v>
      </c>
      <c r="D53" s="133" t="s">
        <v>4</v>
      </c>
      <c r="E53" s="152" t="str">
        <f t="shared" si="29"/>
        <v/>
      </c>
      <c r="F53" s="149" t="str">
        <f t="shared" si="30"/>
        <v/>
      </c>
      <c r="G53" s="38" t="str">
        <f t="shared" si="31"/>
        <v/>
      </c>
      <c r="H53" s="38" t="str">
        <f t="shared" si="32"/>
        <v/>
      </c>
      <c r="I53" s="172" t="str">
        <f t="shared" si="33"/>
        <v/>
      </c>
      <c r="J53" s="381"/>
      <c r="K53" s="28" t="str">
        <f t="shared" si="34"/>
        <v/>
      </c>
      <c r="L53" s="39" t="str">
        <f t="shared" si="35"/>
        <v/>
      </c>
      <c r="M53" s="39" t="str">
        <f t="shared" si="36"/>
        <v/>
      </c>
      <c r="N53" s="40" t="str">
        <f t="shared" si="37"/>
        <v/>
      </c>
    </row>
    <row r="54" spans="1:14" ht="30" customHeight="1" x14ac:dyDescent="0.2">
      <c r="A54" s="37">
        <f t="shared" si="28"/>
        <v>25</v>
      </c>
      <c r="B54" s="132" t="s">
        <v>4</v>
      </c>
      <c r="C54" s="147" t="s">
        <v>9</v>
      </c>
      <c r="D54" s="133" t="s">
        <v>2</v>
      </c>
      <c r="E54" s="152">
        <f t="shared" si="29"/>
        <v>25</v>
      </c>
      <c r="F54" s="149" t="str">
        <f t="shared" si="30"/>
        <v/>
      </c>
      <c r="G54" s="38">
        <f t="shared" si="31"/>
        <v>6</v>
      </c>
      <c r="H54" s="38" t="str">
        <f t="shared" si="32"/>
        <v/>
      </c>
      <c r="I54" s="172">
        <f t="shared" si="33"/>
        <v>2</v>
      </c>
      <c r="J54" s="381"/>
      <c r="K54" s="28" t="str">
        <f t="shared" si="34"/>
        <v/>
      </c>
      <c r="L54" s="39">
        <f t="shared" si="35"/>
        <v>1.5</v>
      </c>
      <c r="M54" s="39" t="str">
        <f t="shared" si="36"/>
        <v/>
      </c>
      <c r="N54" s="40">
        <f t="shared" si="37"/>
        <v>0.5</v>
      </c>
    </row>
    <row r="55" spans="1:14" ht="30" customHeight="1" thickBot="1" x14ac:dyDescent="0.25">
      <c r="A55" s="46">
        <f t="shared" si="28"/>
        <v>25</v>
      </c>
      <c r="B55" s="135" t="s">
        <v>3</v>
      </c>
      <c r="C55" s="153" t="s">
        <v>9</v>
      </c>
      <c r="D55" s="136" t="s">
        <v>1</v>
      </c>
      <c r="E55" s="154">
        <f t="shared" si="29"/>
        <v>50</v>
      </c>
      <c r="F55" s="180">
        <f t="shared" si="30"/>
        <v>6</v>
      </c>
      <c r="G55" s="47" t="str">
        <f t="shared" si="31"/>
        <v/>
      </c>
      <c r="H55" s="47">
        <f t="shared" si="32"/>
        <v>2</v>
      </c>
      <c r="I55" s="177" t="str">
        <f t="shared" si="33"/>
        <v/>
      </c>
      <c r="J55" s="382"/>
      <c r="K55" s="175">
        <f t="shared" si="34"/>
        <v>3</v>
      </c>
      <c r="L55" s="31" t="str">
        <f t="shared" si="35"/>
        <v/>
      </c>
      <c r="M55" s="31">
        <f t="shared" si="36"/>
        <v>0.5</v>
      </c>
      <c r="N55" s="32" t="str">
        <f t="shared" si="37"/>
        <v/>
      </c>
    </row>
    <row r="56" spans="1:14" ht="30" customHeight="1" thickBot="1" x14ac:dyDescent="0.25">
      <c r="A56" s="374" t="s">
        <v>16</v>
      </c>
      <c r="B56" s="374"/>
      <c r="C56" s="374"/>
      <c r="D56" s="374"/>
      <c r="E56" s="374"/>
      <c r="F56" s="374"/>
      <c r="G56" s="374"/>
      <c r="H56" s="374"/>
      <c r="I56" s="374"/>
      <c r="J56" s="354"/>
      <c r="K56" s="48">
        <f>SUM(K43:K55)</f>
        <v>3.5</v>
      </c>
      <c r="L56" s="49">
        <f>SUM(L43:L55)</f>
        <v>7.5</v>
      </c>
      <c r="M56" s="49">
        <f>SUM(M43:M55)</f>
        <v>1</v>
      </c>
      <c r="N56" s="50">
        <f>SUM(N43:N55)</f>
        <v>1.5</v>
      </c>
    </row>
  </sheetData>
  <sheetProtection password="CAEF" sheet="1" objects="1" scenarios="1" selectLockedCells="1"/>
  <mergeCells count="28">
    <mergeCell ref="A40:N40"/>
    <mergeCell ref="A56:J56"/>
    <mergeCell ref="A49:N49"/>
    <mergeCell ref="J41:J48"/>
    <mergeCell ref="J50:J55"/>
    <mergeCell ref="K41:N41"/>
    <mergeCell ref="A41:E41"/>
    <mergeCell ref="F41:I41"/>
    <mergeCell ref="A42:E42"/>
    <mergeCell ref="A27:J27"/>
    <mergeCell ref="A32:J32"/>
    <mergeCell ref="A34:J34"/>
    <mergeCell ref="K19:N19"/>
    <mergeCell ref="A37:J37"/>
    <mergeCell ref="A31:J31"/>
    <mergeCell ref="A33:J33"/>
    <mergeCell ref="A36:J36"/>
    <mergeCell ref="A35:J35"/>
    <mergeCell ref="K8:N8"/>
    <mergeCell ref="P19:T19"/>
    <mergeCell ref="A20:E20"/>
    <mergeCell ref="F8:J8"/>
    <mergeCell ref="A8:E8"/>
    <mergeCell ref="A9:E9"/>
    <mergeCell ref="P8:T8"/>
    <mergeCell ref="A16:J16"/>
    <mergeCell ref="A19:E19"/>
    <mergeCell ref="F19:J19"/>
  </mergeCells>
  <phoneticPr fontId="0" type="noConversion"/>
  <conditionalFormatting sqref="F10:J15 F21:J26">
    <cfRule type="expression" dxfId="8" priority="1" stopIfTrue="1">
      <formula>AND(NOT(F10=""),NOT(F10=$B10),NOT(F10=$D10),NOT(F10="X"))</formula>
    </cfRule>
  </conditionalFormatting>
  <conditionalFormatting sqref="A21:A26 A10:A15 E10:E15 E21:E26">
    <cfRule type="expression" dxfId="7" priority="2" stopIfTrue="1">
      <formula>AND(NOT(A10=""),NOT(A10=25),NOT(A10=50))</formula>
    </cfRule>
  </conditionalFormatting>
  <conditionalFormatting sqref="K33:N33">
    <cfRule type="expression" dxfId="6" priority="3" stopIfTrue="1">
      <formula>AND(K33&lt;&gt;"",OR(K33&lt;2,K33&gt;18))</formula>
    </cfRule>
  </conditionalFormatting>
  <conditionalFormatting sqref="K37:N37">
    <cfRule type="cellIs" dxfId="5" priority="4" stopIfTrue="1" operator="equal">
      <formula>1</formula>
    </cfRule>
    <cfRule type="cellIs" dxfId="4" priority="5" stopIfTrue="1" operator="equal">
      <formula>2</formula>
    </cfRule>
    <cfRule type="cellIs" dxfId="3" priority="6" stopIfTrue="1" operator="equal">
      <formula>3</formula>
    </cfRule>
  </conditionalFormatting>
  <pageMargins left="0.75" right="0.75" top="1" bottom="1" header="0.5" footer="0.5"/>
  <pageSetup paperSize="9" scale="65" orientation="portrait" r:id="rId1"/>
  <headerFooter alignWithMargins="0">
    <oddHeader>&amp;L&amp;"Arial,Bold"&amp;26RIDL Final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showGridLines="0" showRowColHeaders="0" zoomScale="75" zoomScaleNormal="75" workbookViewId="0">
      <selection activeCell="B6" sqref="B6"/>
    </sheetView>
  </sheetViews>
  <sheetFormatPr defaultColWidth="8.85546875" defaultRowHeight="20.25" x14ac:dyDescent="0.3"/>
  <cols>
    <col min="1" max="1" width="18.7109375" style="54" customWidth="1"/>
    <col min="2" max="5" width="20.7109375" style="54" customWidth="1"/>
    <col min="6" max="16384" width="8.85546875" style="53"/>
  </cols>
  <sheetData>
    <row r="1" spans="1:5" ht="34.5" customHeight="1" x14ac:dyDescent="0.3">
      <c r="A1" s="428" t="str">
        <f>CONCATENATE(Master!$B$3," - ",Master!$B$4)</f>
        <v>Solihull - 10th September 2016</v>
      </c>
      <c r="B1" s="429"/>
      <c r="C1" s="429"/>
      <c r="D1" s="429"/>
      <c r="E1" s="429"/>
    </row>
    <row r="2" spans="1:5" ht="12.75" customHeight="1" x14ac:dyDescent="0.3"/>
    <row r="3" spans="1:5" ht="34.5" customHeight="1" x14ac:dyDescent="0.3">
      <c r="A3" s="428" t="s">
        <v>13</v>
      </c>
      <c r="B3" s="429"/>
      <c r="C3" s="429"/>
      <c r="D3" s="429"/>
      <c r="E3" s="429"/>
    </row>
    <row r="4" spans="1:5" ht="12.75" customHeight="1" thickBot="1" x14ac:dyDescent="0.35"/>
    <row r="5" spans="1:5" ht="30" customHeight="1" x14ac:dyDescent="0.3">
      <c r="A5" s="55" t="s">
        <v>0</v>
      </c>
      <c r="B5" s="56" t="s">
        <v>1</v>
      </c>
      <c r="C5" s="56" t="s">
        <v>2</v>
      </c>
      <c r="D5" s="56" t="s">
        <v>3</v>
      </c>
      <c r="E5" s="57" t="s">
        <v>4</v>
      </c>
    </row>
    <row r="6" spans="1:5" ht="30" customHeight="1" thickBot="1" x14ac:dyDescent="0.35">
      <c r="A6" s="58" t="s">
        <v>5</v>
      </c>
      <c r="B6" s="68" t="str">
        <f>VLOOKUP(B5,Master!A26:B29,2,FALSE)</f>
        <v>South East</v>
      </c>
      <c r="C6" s="68" t="str">
        <f>VLOOKUP(C5,Master!A26:B29,2,FALSE)</f>
        <v>South Central</v>
      </c>
      <c r="D6" s="68" t="str">
        <f>VLOOKUP(D5,Master!A26:B29,2,FALSE)</f>
        <v>South West</v>
      </c>
      <c r="E6" s="68" t="str">
        <f>VLOOKUP(E5,Master!A26:B29,2,FALSE)</f>
        <v>North</v>
      </c>
    </row>
    <row r="7" spans="1:5" s="54" customFormat="1" ht="30" customHeight="1" thickBot="1" x14ac:dyDescent="0.25">
      <c r="A7" s="59"/>
      <c r="B7" s="60"/>
      <c r="C7" s="60"/>
      <c r="D7" s="60"/>
      <c r="E7" s="60"/>
    </row>
    <row r="8" spans="1:5" s="54" customFormat="1" ht="30" customHeight="1" x14ac:dyDescent="0.2">
      <c r="A8" s="430" t="s">
        <v>67</v>
      </c>
      <c r="B8" s="425"/>
      <c r="C8" s="425"/>
      <c r="D8" s="425"/>
      <c r="E8" s="426"/>
    </row>
    <row r="9" spans="1:5" s="54" customFormat="1" ht="30" customHeight="1" x14ac:dyDescent="0.2">
      <c r="A9" s="63" t="s">
        <v>24</v>
      </c>
      <c r="B9" s="66">
        <f>IF(Jnr!K36="","",Jnr!K36)</f>
        <v>38.5</v>
      </c>
      <c r="C9" s="66">
        <f>IF(Jnr!L36="","",Jnr!L36)</f>
        <v>28</v>
      </c>
      <c r="D9" s="66">
        <f>IF(Jnr!M36="","",Jnr!M36)</f>
        <v>32</v>
      </c>
      <c r="E9" s="67">
        <f>IF(Jnr!N36="","",Jnr!N36)</f>
        <v>40</v>
      </c>
    </row>
    <row r="10" spans="1:5" s="54" customFormat="1" ht="30" customHeight="1" thickBot="1" x14ac:dyDescent="0.25">
      <c r="A10" s="61" t="s">
        <v>25</v>
      </c>
      <c r="B10" s="64">
        <f>IF(Jnr!K37="","",Jnr!K37)</f>
        <v>2</v>
      </c>
      <c r="C10" s="64">
        <f>IF(Jnr!L37="","",Jnr!L37)</f>
        <v>4</v>
      </c>
      <c r="D10" s="64">
        <f>IF(Jnr!M37="","",Jnr!M37)</f>
        <v>3</v>
      </c>
      <c r="E10" s="65">
        <f>IF(Jnr!N37="","",Jnr!N37)</f>
        <v>1</v>
      </c>
    </row>
    <row r="11" spans="1:5" s="54" customFormat="1" ht="30" customHeight="1" thickBot="1" x14ac:dyDescent="0.25"/>
    <row r="12" spans="1:5" s="54" customFormat="1" ht="30" customHeight="1" x14ac:dyDescent="0.2">
      <c r="A12" s="431" t="s">
        <v>68</v>
      </c>
      <c r="B12" s="425"/>
      <c r="C12" s="425"/>
      <c r="D12" s="425"/>
      <c r="E12" s="426"/>
    </row>
    <row r="13" spans="1:5" s="54" customFormat="1" ht="30" customHeight="1" x14ac:dyDescent="0.2">
      <c r="A13" s="63" t="s">
        <v>24</v>
      </c>
      <c r="B13" s="66">
        <f>IF(Inter!K36="","",Inter!K36)</f>
        <v>22.5</v>
      </c>
      <c r="C13" s="66">
        <f>IF(Inter!L36="","",Inter!L36)</f>
        <v>36</v>
      </c>
      <c r="D13" s="66">
        <f>IF(Inter!M36="","",Inter!M36)</f>
        <v>37.5</v>
      </c>
      <c r="E13" s="67">
        <f>IF(Inter!N36="","",Inter!N36)</f>
        <v>40</v>
      </c>
    </row>
    <row r="14" spans="1:5" s="54" customFormat="1" ht="30" customHeight="1" thickBot="1" x14ac:dyDescent="0.25">
      <c r="A14" s="61" t="s">
        <v>25</v>
      </c>
      <c r="B14" s="64">
        <f>IF(Inter!K37="","",Inter!K37)</f>
        <v>4</v>
      </c>
      <c r="C14" s="64">
        <f>IF(Inter!L37="","",Inter!L37)</f>
        <v>3</v>
      </c>
      <c r="D14" s="64">
        <f>IF(Inter!M37="","",Inter!M37)</f>
        <v>2</v>
      </c>
      <c r="E14" s="65">
        <f>IF(Inter!N37="","",Inter!N37)</f>
        <v>1</v>
      </c>
    </row>
    <row r="15" spans="1:5" s="54" customFormat="1" ht="30" customHeight="1" thickBot="1" x14ac:dyDescent="0.25"/>
    <row r="16" spans="1:5" s="54" customFormat="1" ht="30" customHeight="1" x14ac:dyDescent="0.2">
      <c r="A16" s="424" t="s">
        <v>69</v>
      </c>
      <c r="B16" s="425"/>
      <c r="C16" s="425"/>
      <c r="D16" s="425"/>
      <c r="E16" s="426"/>
    </row>
    <row r="17" spans="1:5" s="54" customFormat="1" ht="30" customHeight="1" x14ac:dyDescent="0.2">
      <c r="A17" s="63" t="s">
        <v>24</v>
      </c>
      <c r="B17" s="66">
        <f>IF(Snr!K36="","",Snr!K36)</f>
        <v>25.5</v>
      </c>
      <c r="C17" s="66">
        <f>IF(Snr!L36="","",Snr!L36)</f>
        <v>31.5</v>
      </c>
      <c r="D17" s="66">
        <f>IF(Snr!M36="","",Snr!M36)</f>
        <v>33</v>
      </c>
      <c r="E17" s="67">
        <f>IF(Snr!N36="","",Snr!N36)</f>
        <v>27.5</v>
      </c>
    </row>
    <row r="18" spans="1:5" s="54" customFormat="1" ht="30" customHeight="1" thickBot="1" x14ac:dyDescent="0.25">
      <c r="A18" s="61" t="s">
        <v>25</v>
      </c>
      <c r="B18" s="64">
        <f>IF(Snr!K37="","",Snr!K37)</f>
        <v>4</v>
      </c>
      <c r="C18" s="64">
        <f>IF(Snr!L37="","",Snr!L37)</f>
        <v>2</v>
      </c>
      <c r="D18" s="64">
        <f>IF(Snr!M37="","",Snr!M37)</f>
        <v>1</v>
      </c>
      <c r="E18" s="65">
        <f>IF(Snr!N37="","",Snr!N37)</f>
        <v>3</v>
      </c>
    </row>
    <row r="19" spans="1:5" s="54" customFormat="1" ht="30" customHeight="1" thickBot="1" x14ac:dyDescent="0.25"/>
    <row r="20" spans="1:5" s="54" customFormat="1" ht="30" customHeight="1" x14ac:dyDescent="0.2">
      <c r="A20" s="427" t="s">
        <v>26</v>
      </c>
      <c r="B20" s="425"/>
      <c r="C20" s="425"/>
      <c r="D20" s="425"/>
      <c r="E20" s="426"/>
    </row>
    <row r="21" spans="1:5" s="54" customFormat="1" ht="30" customHeight="1" x14ac:dyDescent="0.2">
      <c r="A21" s="63" t="s">
        <v>24</v>
      </c>
      <c r="B21" s="66">
        <f>B9+B13+B17</f>
        <v>86.5</v>
      </c>
      <c r="C21" s="66">
        <f>C9+C13+C17</f>
        <v>95.5</v>
      </c>
      <c r="D21" s="66">
        <f>D9+D13+D17</f>
        <v>102.5</v>
      </c>
      <c r="E21" s="67">
        <f>E9+E13+E17</f>
        <v>107.5</v>
      </c>
    </row>
    <row r="22" spans="1:5" s="54" customFormat="1" ht="30" customHeight="1" thickBot="1" x14ac:dyDescent="0.25">
      <c r="A22" s="61" t="s">
        <v>25</v>
      </c>
      <c r="B22" s="64">
        <f>IF(SUM($B21:$E21) &gt; 0,RANK(B21,$B21:$E21,0),"")</f>
        <v>4</v>
      </c>
      <c r="C22" s="64">
        <f>IF(SUM($B21:$E21) &gt; 0,RANK(C21,$B21:$E21,0),"")</f>
        <v>3</v>
      </c>
      <c r="D22" s="64">
        <f>IF(SUM($B21:$E21) &gt; 0,RANK(D21,$B21:$E21,0),"")</f>
        <v>2</v>
      </c>
      <c r="E22" s="65">
        <f>IF(SUM($B21:$E21) &gt; 0,RANK(E21,$B21:$E21,0),"")</f>
        <v>1</v>
      </c>
    </row>
    <row r="24" spans="1:5" x14ac:dyDescent="0.3">
      <c r="B24" s="62"/>
    </row>
  </sheetData>
  <sheetProtection password="CAEF" sheet="1" objects="1" scenarios="1"/>
  <mergeCells count="6">
    <mergeCell ref="A16:E16"/>
    <mergeCell ref="A20:E20"/>
    <mergeCell ref="A1:E1"/>
    <mergeCell ref="A3:E3"/>
    <mergeCell ref="A8:E8"/>
    <mergeCell ref="A12:E12"/>
  </mergeCells>
  <phoneticPr fontId="0" type="noConversion"/>
  <conditionalFormatting sqref="B10:E10 B14:E14 B18:E18 B22:E22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3</formula>
    </cfRule>
  </conditionalFormatting>
  <pageMargins left="0.78740157480314965" right="0.78740157480314965" top="1.1811023622047245" bottom="0.78740157480314965" header="0.78740157480314965" footer="0"/>
  <pageSetup paperSize="9" scale="85" orientation="portrait" r:id="rId1"/>
  <headerFooter alignWithMargins="0">
    <oddHeader>&amp;C&amp;"Arial,Bold"&amp;22RIDL National Final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Master</vt:lpstr>
      <vt:lpstr>N</vt:lpstr>
      <vt:lpstr>SC</vt:lpstr>
      <vt:lpstr>SE</vt:lpstr>
      <vt:lpstr>SW</vt:lpstr>
      <vt:lpstr>Jnr</vt:lpstr>
      <vt:lpstr>Inter</vt:lpstr>
      <vt:lpstr>Snr</vt:lpstr>
      <vt:lpstr>Final Result</vt:lpstr>
      <vt:lpstr>Music</vt:lpstr>
      <vt:lpstr>Lookup</vt:lpstr>
      <vt:lpstr>'Final Result'!Print_Area</vt:lpstr>
      <vt:lpstr>Inter!Print_Area</vt:lpstr>
      <vt:lpstr>Jnr!Print_Area</vt:lpstr>
      <vt:lpstr>Master!Print_Area</vt:lpstr>
      <vt:lpstr>Music!Print_Area</vt:lpstr>
      <vt:lpstr>N!Print_Area</vt:lpstr>
      <vt:lpstr>SC!Print_Area</vt:lpstr>
      <vt:lpstr>SE!Print_Area</vt:lpstr>
      <vt:lpstr>Snr!Print_Area</vt:lpstr>
      <vt:lpstr>SW!Print_Area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Williams &amp; Barrie Haigh</dc:creator>
  <cp:lastModifiedBy>Barrie</cp:lastModifiedBy>
  <cp:lastPrinted>2016-09-10T09:45:37Z</cp:lastPrinted>
  <dcterms:created xsi:type="dcterms:W3CDTF">2011-07-18T20:52:46Z</dcterms:created>
  <dcterms:modified xsi:type="dcterms:W3CDTF">2016-09-12T11:10:03Z</dcterms:modified>
</cp:coreProperties>
</file>